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jspsafety.com\Marketing\Marketing 3\PackagedProductMedia\JSP-GO\JSP-GO_Website\go\Retail\"/>
    </mc:Choice>
  </mc:AlternateContent>
  <xr:revisionPtr revIDLastSave="0" documentId="13_ncr:1_{2EF05271-CBB6-4A83-9850-611B9FE4CB74}" xr6:coauthVersionLast="47" xr6:coauthVersionMax="47" xr10:uidLastSave="{00000000-0000-0000-0000-000000000000}"/>
  <bookViews>
    <workbookView xWindow="-103" yWindow="-103" windowWidth="33120" windowHeight="18120" xr2:uid="{00000000-000D-0000-FFFF-FFFF00000000}"/>
  </bookViews>
  <sheets>
    <sheet name="JSP-GO" sheetId="34" r:id="rId1"/>
    <sheet name="1 Stand Configurator" sheetId="31" r:id="rId2"/>
    <sheet name="1 Stand Order Generator" sheetId="32" state="hidden" r:id="rId3"/>
    <sheet name="2 Stand Configurator" sheetId="21" r:id="rId4"/>
    <sheet name="2 Stand Order Generator" sheetId="27" state="hidden" r:id="rId5"/>
    <sheet name="Product List" sheetId="20" state="hidden" r:id="rId6"/>
  </sheets>
  <definedNames>
    <definedName name="_xlnm._FilterDatabase" localSheetId="2" hidden="1">'1 Stand Order Generator'!$B$5:$D$183</definedName>
    <definedName name="_xlnm._FilterDatabase" localSheetId="4" hidden="1">'2 Stand Order Generator'!$B$5:$D$183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" i="21" l="1"/>
  <c r="C9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2" i="21"/>
  <c r="C53" i="21"/>
  <c r="C7" i="21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7" i="31"/>
  <c r="U35" i="31"/>
  <c r="U35" i="21"/>
  <c r="B3" i="32"/>
  <c r="I28" i="31"/>
  <c r="I27" i="31"/>
  <c r="J28" i="31"/>
  <c r="J27" i="31"/>
  <c r="I30" i="31"/>
  <c r="I29" i="31"/>
  <c r="I26" i="31"/>
  <c r="I25" i="31"/>
  <c r="I24" i="31"/>
  <c r="I23" i="31"/>
  <c r="I22" i="31"/>
  <c r="I21" i="31"/>
  <c r="I20" i="31"/>
  <c r="I19" i="31"/>
  <c r="I18" i="31"/>
  <c r="I17" i="31"/>
  <c r="I16" i="31"/>
  <c r="I15" i="31"/>
  <c r="I14" i="31"/>
  <c r="I13" i="31"/>
  <c r="I12" i="31"/>
  <c r="I11" i="31"/>
  <c r="I10" i="31"/>
  <c r="I9" i="31"/>
  <c r="I8" i="31"/>
  <c r="I7" i="31"/>
  <c r="J30" i="31"/>
  <c r="J29" i="31"/>
  <c r="J26" i="31"/>
  <c r="J25" i="31"/>
  <c r="J24" i="31"/>
  <c r="J23" i="31"/>
  <c r="J22" i="31"/>
  <c r="J21" i="31"/>
  <c r="J20" i="31"/>
  <c r="J19" i="31"/>
  <c r="J18" i="31"/>
  <c r="J17" i="31"/>
  <c r="J16" i="31"/>
  <c r="J15" i="31"/>
  <c r="J14" i="31"/>
  <c r="J12" i="31"/>
  <c r="J11" i="31"/>
  <c r="J10" i="31"/>
  <c r="J9" i="31"/>
  <c r="J8" i="31"/>
  <c r="J7" i="31"/>
  <c r="J13" i="31"/>
  <c r="B65" i="32" l="1"/>
  <c r="B61" i="32"/>
  <c r="B60" i="32"/>
  <c r="B59" i="32"/>
  <c r="B58" i="32"/>
  <c r="B57" i="32"/>
  <c r="B56" i="32"/>
  <c r="B55" i="32"/>
  <c r="B54" i="32"/>
  <c r="B53" i="32"/>
  <c r="B52" i="32"/>
  <c r="B51" i="32"/>
  <c r="B50" i="32"/>
  <c r="B49" i="32"/>
  <c r="B48" i="32"/>
  <c r="B47" i="32"/>
  <c r="B46" i="32"/>
  <c r="B45" i="32"/>
  <c r="B44" i="32"/>
  <c r="B43" i="32"/>
  <c r="B42" i="32"/>
  <c r="B41" i="32"/>
  <c r="B40" i="32"/>
  <c r="B39" i="32"/>
  <c r="B38" i="32"/>
  <c r="B37" i="32"/>
  <c r="B36" i="32"/>
  <c r="B35" i="32"/>
  <c r="B34" i="32"/>
  <c r="B33" i="32"/>
  <c r="B32" i="32"/>
  <c r="B31" i="32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C61" i="32"/>
  <c r="C60" i="32"/>
  <c r="C59" i="32"/>
  <c r="C58" i="32"/>
  <c r="C57" i="32"/>
  <c r="C56" i="32"/>
  <c r="C55" i="32"/>
  <c r="C54" i="32"/>
  <c r="C53" i="32"/>
  <c r="C52" i="32"/>
  <c r="C51" i="32"/>
  <c r="C50" i="32"/>
  <c r="C49" i="32"/>
  <c r="C48" i="32"/>
  <c r="C47" i="32"/>
  <c r="C46" i="32"/>
  <c r="C45" i="32"/>
  <c r="C44" i="32"/>
  <c r="C43" i="32"/>
  <c r="C42" i="32"/>
  <c r="C40" i="32"/>
  <c r="C41" i="32"/>
  <c r="C39" i="32"/>
  <c r="D61" i="32"/>
  <c r="D60" i="32"/>
  <c r="D59" i="32"/>
  <c r="D58" i="32"/>
  <c r="D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11" i="32"/>
  <c r="D10" i="32"/>
  <c r="D9" i="32"/>
  <c r="D8" i="32"/>
  <c r="D7" i="32"/>
  <c r="I192" i="32" l="1"/>
  <c r="I193" i="32"/>
  <c r="I194" i="32"/>
  <c r="I195" i="32"/>
  <c r="I196" i="32"/>
  <c r="I197" i="32"/>
  <c r="I198" i="32"/>
  <c r="I199" i="32"/>
  <c r="I200" i="32"/>
  <c r="I201" i="32"/>
  <c r="I202" i="32"/>
  <c r="I191" i="32"/>
  <c r="F202" i="32"/>
  <c r="F201" i="32"/>
  <c r="F200" i="32"/>
  <c r="F199" i="32"/>
  <c r="F198" i="32"/>
  <c r="F197" i="32"/>
  <c r="F196" i="32"/>
  <c r="F195" i="32"/>
  <c r="F194" i="32"/>
  <c r="F193" i="32"/>
  <c r="F192" i="32"/>
  <c r="F191" i="32"/>
  <c r="C183" i="32"/>
  <c r="B183" i="32"/>
  <c r="C182" i="32"/>
  <c r="B182" i="32"/>
  <c r="C181" i="32"/>
  <c r="B181" i="32"/>
  <c r="C180" i="32"/>
  <c r="B180" i="32"/>
  <c r="C179" i="32"/>
  <c r="B179" i="32"/>
  <c r="C178" i="32"/>
  <c r="B178" i="32"/>
  <c r="C177" i="32"/>
  <c r="B177" i="32"/>
  <c r="C176" i="32"/>
  <c r="B176" i="32"/>
  <c r="C175" i="32"/>
  <c r="B175" i="32"/>
  <c r="C174" i="32"/>
  <c r="B174" i="32"/>
  <c r="C173" i="32"/>
  <c r="B173" i="32"/>
  <c r="C172" i="32"/>
  <c r="B172" i="32"/>
  <c r="C171" i="32"/>
  <c r="B171" i="32"/>
  <c r="C170" i="32"/>
  <c r="B170" i="32"/>
  <c r="C169" i="32"/>
  <c r="B169" i="32"/>
  <c r="C168" i="32"/>
  <c r="B168" i="32"/>
  <c r="C167" i="32"/>
  <c r="B167" i="32"/>
  <c r="C166" i="32"/>
  <c r="B166" i="32"/>
  <c r="C165" i="32"/>
  <c r="B165" i="32"/>
  <c r="C164" i="32"/>
  <c r="B164" i="32"/>
  <c r="C163" i="32"/>
  <c r="B163" i="32"/>
  <c r="C162" i="32"/>
  <c r="B162" i="32"/>
  <c r="C161" i="32"/>
  <c r="B161" i="32"/>
  <c r="C160" i="32"/>
  <c r="B160" i="32"/>
  <c r="C159" i="32"/>
  <c r="B159" i="32"/>
  <c r="C158" i="32"/>
  <c r="B158" i="32"/>
  <c r="C157" i="32"/>
  <c r="B157" i="32"/>
  <c r="C156" i="32"/>
  <c r="B156" i="32"/>
  <c r="C155" i="32"/>
  <c r="B155" i="32"/>
  <c r="C154" i="32"/>
  <c r="B154" i="32"/>
  <c r="C153" i="32"/>
  <c r="B153" i="32"/>
  <c r="C152" i="32"/>
  <c r="B152" i="32"/>
  <c r="C151" i="32"/>
  <c r="B151" i="32"/>
  <c r="C150" i="32"/>
  <c r="B150" i="32"/>
  <c r="C149" i="32"/>
  <c r="B149" i="32"/>
  <c r="C148" i="32"/>
  <c r="B148" i="32"/>
  <c r="C147" i="32"/>
  <c r="B147" i="32"/>
  <c r="C146" i="32"/>
  <c r="B146" i="32"/>
  <c r="C145" i="32"/>
  <c r="B145" i="32"/>
  <c r="C144" i="32"/>
  <c r="B144" i="32"/>
  <c r="C143" i="32"/>
  <c r="B143" i="32"/>
  <c r="C142" i="32"/>
  <c r="B142" i="32"/>
  <c r="C141" i="32"/>
  <c r="B141" i="32"/>
  <c r="C140" i="32"/>
  <c r="B140" i="32"/>
  <c r="C139" i="32"/>
  <c r="B139" i="32"/>
  <c r="C138" i="32"/>
  <c r="B138" i="32"/>
  <c r="C137" i="32"/>
  <c r="B137" i="32"/>
  <c r="C136" i="32"/>
  <c r="B136" i="32"/>
  <c r="C135" i="32"/>
  <c r="B135" i="32"/>
  <c r="C134" i="32"/>
  <c r="B134" i="32"/>
  <c r="C133" i="32"/>
  <c r="B133" i="32"/>
  <c r="C132" i="32"/>
  <c r="B132" i="32"/>
  <c r="C131" i="32"/>
  <c r="B131" i="32"/>
  <c r="C130" i="32"/>
  <c r="B130" i="32"/>
  <c r="C129" i="32"/>
  <c r="B129" i="32"/>
  <c r="C128" i="32"/>
  <c r="B128" i="32"/>
  <c r="C127" i="32"/>
  <c r="B127" i="32"/>
  <c r="C126" i="32"/>
  <c r="B126" i="32"/>
  <c r="C122" i="32"/>
  <c r="B122" i="32"/>
  <c r="C121" i="32"/>
  <c r="B121" i="32"/>
  <c r="C120" i="32"/>
  <c r="B120" i="32"/>
  <c r="C119" i="32"/>
  <c r="B119" i="32"/>
  <c r="C118" i="32"/>
  <c r="B118" i="32"/>
  <c r="C117" i="32"/>
  <c r="B117" i="32"/>
  <c r="C116" i="32"/>
  <c r="B116" i="32"/>
  <c r="C115" i="32"/>
  <c r="B115" i="32"/>
  <c r="C114" i="32"/>
  <c r="B114" i="32"/>
  <c r="C113" i="32"/>
  <c r="B113" i="32"/>
  <c r="C112" i="32"/>
  <c r="B112" i="32"/>
  <c r="C111" i="32"/>
  <c r="B111" i="32"/>
  <c r="C110" i="32"/>
  <c r="B110" i="32"/>
  <c r="C109" i="32"/>
  <c r="B109" i="32"/>
  <c r="C108" i="32"/>
  <c r="B108" i="32"/>
  <c r="C107" i="32"/>
  <c r="B107" i="32"/>
  <c r="C106" i="32"/>
  <c r="B106" i="32"/>
  <c r="C105" i="32"/>
  <c r="B105" i="32"/>
  <c r="C104" i="32"/>
  <c r="B104" i="32"/>
  <c r="C103" i="32"/>
  <c r="B103" i="32"/>
  <c r="C102" i="32"/>
  <c r="B102" i="32"/>
  <c r="C101" i="32"/>
  <c r="B101" i="32"/>
  <c r="C100" i="32"/>
  <c r="B100" i="32"/>
  <c r="C99" i="32"/>
  <c r="B99" i="32"/>
  <c r="C98" i="32"/>
  <c r="B98" i="32"/>
  <c r="C97" i="32"/>
  <c r="B97" i="32"/>
  <c r="C96" i="32"/>
  <c r="B96" i="32"/>
  <c r="C95" i="32"/>
  <c r="B95" i="32"/>
  <c r="C94" i="32"/>
  <c r="B94" i="32"/>
  <c r="C93" i="32"/>
  <c r="B93" i="32"/>
  <c r="C92" i="32"/>
  <c r="B92" i="32"/>
  <c r="C91" i="32"/>
  <c r="B91" i="32"/>
  <c r="C90" i="32"/>
  <c r="B90" i="32"/>
  <c r="C89" i="32"/>
  <c r="B89" i="32"/>
  <c r="C88" i="32"/>
  <c r="B88" i="32"/>
  <c r="C87" i="32"/>
  <c r="B87" i="32"/>
  <c r="C86" i="32"/>
  <c r="B86" i="32"/>
  <c r="C85" i="32"/>
  <c r="B85" i="32"/>
  <c r="C84" i="32"/>
  <c r="B84" i="32"/>
  <c r="C83" i="32"/>
  <c r="B83" i="32"/>
  <c r="C82" i="32"/>
  <c r="B82" i="32"/>
  <c r="C81" i="32"/>
  <c r="B81" i="32"/>
  <c r="C80" i="32"/>
  <c r="B80" i="32"/>
  <c r="C79" i="32"/>
  <c r="B79" i="32"/>
  <c r="C78" i="32"/>
  <c r="B78" i="32"/>
  <c r="C77" i="32"/>
  <c r="B77" i="32"/>
  <c r="C76" i="32"/>
  <c r="B76" i="32"/>
  <c r="C75" i="32"/>
  <c r="B75" i="32"/>
  <c r="C74" i="32"/>
  <c r="B74" i="32"/>
  <c r="C73" i="32"/>
  <c r="B73" i="32"/>
  <c r="C72" i="32"/>
  <c r="B72" i="32"/>
  <c r="C71" i="32"/>
  <c r="B71" i="32"/>
  <c r="C70" i="32"/>
  <c r="B70" i="32"/>
  <c r="C69" i="32"/>
  <c r="B69" i="32"/>
  <c r="C68" i="32"/>
  <c r="B68" i="32"/>
  <c r="C67" i="32"/>
  <c r="B67" i="32"/>
  <c r="C66" i="32"/>
  <c r="B66" i="32"/>
  <c r="C65" i="32"/>
  <c r="N30" i="31"/>
  <c r="D38" i="32" s="1"/>
  <c r="M30" i="31"/>
  <c r="K30" i="31"/>
  <c r="L30" i="31" s="1"/>
  <c r="D30" i="31"/>
  <c r="J202" i="32" s="1"/>
  <c r="B30" i="31"/>
  <c r="C38" i="32" s="1"/>
  <c r="N29" i="31"/>
  <c r="D37" i="32" s="1"/>
  <c r="M29" i="31"/>
  <c r="K29" i="31"/>
  <c r="L29" i="31" s="1"/>
  <c r="D29" i="31"/>
  <c r="J201" i="32" s="1"/>
  <c r="B29" i="31"/>
  <c r="C37" i="32" s="1"/>
  <c r="N28" i="31"/>
  <c r="D36" i="32" s="1"/>
  <c r="M28" i="31"/>
  <c r="K28" i="31"/>
  <c r="L28" i="31" s="1"/>
  <c r="O28" i="31"/>
  <c r="D28" i="31"/>
  <c r="J200" i="32" s="1"/>
  <c r="B28" i="31"/>
  <c r="C36" i="32" s="1"/>
  <c r="N27" i="31"/>
  <c r="D35" i="32" s="1"/>
  <c r="M27" i="31"/>
  <c r="K27" i="31"/>
  <c r="D27" i="31"/>
  <c r="J199" i="32" s="1"/>
  <c r="B27" i="31"/>
  <c r="C35" i="32" s="1"/>
  <c r="N26" i="31"/>
  <c r="D34" i="32" s="1"/>
  <c r="M26" i="31"/>
  <c r="K26" i="31"/>
  <c r="L26" i="31" s="1"/>
  <c r="O26" i="31"/>
  <c r="D26" i="31"/>
  <c r="J198" i="32" s="1"/>
  <c r="B26" i="31"/>
  <c r="C34" i="32" s="1"/>
  <c r="N25" i="31"/>
  <c r="D33" i="32" s="1"/>
  <c r="M25" i="31"/>
  <c r="K25" i="31"/>
  <c r="D25" i="31"/>
  <c r="J197" i="32" s="1"/>
  <c r="B25" i="31"/>
  <c r="C33" i="32" s="1"/>
  <c r="N24" i="31"/>
  <c r="D32" i="32" s="1"/>
  <c r="M24" i="31"/>
  <c r="K24" i="31"/>
  <c r="L24" i="31" s="1"/>
  <c r="O24" i="31"/>
  <c r="D24" i="31"/>
  <c r="J196" i="32" s="1"/>
  <c r="B24" i="31"/>
  <c r="C32" i="32" s="1"/>
  <c r="N23" i="31"/>
  <c r="D31" i="32" s="1"/>
  <c r="M23" i="31"/>
  <c r="K23" i="31"/>
  <c r="L23" i="31" s="1"/>
  <c r="D23" i="31"/>
  <c r="J195" i="32" s="1"/>
  <c r="B23" i="31"/>
  <c r="C31" i="32" s="1"/>
  <c r="N22" i="31"/>
  <c r="D30" i="32" s="1"/>
  <c r="M22" i="31"/>
  <c r="K22" i="31"/>
  <c r="L22" i="31" s="1"/>
  <c r="D22" i="31"/>
  <c r="J194" i="32" s="1"/>
  <c r="B22" i="31"/>
  <c r="C30" i="32" s="1"/>
  <c r="N21" i="31"/>
  <c r="D29" i="32" s="1"/>
  <c r="M21" i="31"/>
  <c r="K21" i="31"/>
  <c r="L21" i="31" s="1"/>
  <c r="D21" i="31"/>
  <c r="J193" i="32" s="1"/>
  <c r="B21" i="31"/>
  <c r="C29" i="32" s="1"/>
  <c r="N20" i="31"/>
  <c r="D28" i="32" s="1"/>
  <c r="M20" i="31"/>
  <c r="K20" i="31"/>
  <c r="L20" i="31" s="1"/>
  <c r="D20" i="31"/>
  <c r="J192" i="32" s="1"/>
  <c r="B20" i="31"/>
  <c r="C28" i="32" s="1"/>
  <c r="N19" i="31"/>
  <c r="D27" i="32" s="1"/>
  <c r="M19" i="31"/>
  <c r="K19" i="31"/>
  <c r="D19" i="31"/>
  <c r="J191" i="32" s="1"/>
  <c r="B19" i="31"/>
  <c r="C27" i="32" s="1"/>
  <c r="N18" i="31"/>
  <c r="D26" i="32" s="1"/>
  <c r="M18" i="31"/>
  <c r="K18" i="31"/>
  <c r="L18" i="31" s="1"/>
  <c r="D18" i="31"/>
  <c r="G202" i="32" s="1"/>
  <c r="B18" i="31"/>
  <c r="C26" i="32" s="1"/>
  <c r="N17" i="31"/>
  <c r="D25" i="32" s="1"/>
  <c r="M17" i="31"/>
  <c r="K17" i="31"/>
  <c r="D17" i="31"/>
  <c r="G201" i="32" s="1"/>
  <c r="B17" i="31"/>
  <c r="C25" i="32" s="1"/>
  <c r="N16" i="31"/>
  <c r="D24" i="32" s="1"/>
  <c r="M16" i="31"/>
  <c r="K16" i="31"/>
  <c r="L16" i="31" s="1"/>
  <c r="O16" i="31"/>
  <c r="D16" i="31"/>
  <c r="G200" i="32" s="1"/>
  <c r="B16" i="31"/>
  <c r="C24" i="32" s="1"/>
  <c r="N15" i="31"/>
  <c r="D23" i="32" s="1"/>
  <c r="M15" i="31"/>
  <c r="K15" i="31"/>
  <c r="L15" i="31" s="1"/>
  <c r="D15" i="31"/>
  <c r="G199" i="32" s="1"/>
  <c r="B15" i="31"/>
  <c r="C23" i="32" s="1"/>
  <c r="N14" i="31"/>
  <c r="D22" i="32" s="1"/>
  <c r="M14" i="31"/>
  <c r="K14" i="31"/>
  <c r="D14" i="31"/>
  <c r="G198" i="32" s="1"/>
  <c r="B14" i="31"/>
  <c r="C22" i="32" s="1"/>
  <c r="N13" i="31"/>
  <c r="D21" i="32" s="1"/>
  <c r="M13" i="31"/>
  <c r="K13" i="31"/>
  <c r="L13" i="31" s="1"/>
  <c r="D13" i="31"/>
  <c r="G197" i="32" s="1"/>
  <c r="B13" i="31"/>
  <c r="C21" i="32" s="1"/>
  <c r="N12" i="31"/>
  <c r="D20" i="32" s="1"/>
  <c r="M12" i="31"/>
  <c r="K12" i="31"/>
  <c r="L12" i="31" s="1"/>
  <c r="D12" i="31"/>
  <c r="G196" i="32" s="1"/>
  <c r="B12" i="31"/>
  <c r="C20" i="32" s="1"/>
  <c r="N11" i="31"/>
  <c r="D19" i="32" s="1"/>
  <c r="M11" i="31"/>
  <c r="K11" i="31"/>
  <c r="D11" i="31"/>
  <c r="G195" i="32" s="1"/>
  <c r="B11" i="31"/>
  <c r="C19" i="32" s="1"/>
  <c r="N10" i="31"/>
  <c r="D18" i="32" s="1"/>
  <c r="M10" i="31"/>
  <c r="K10" i="31"/>
  <c r="L10" i="31" s="1"/>
  <c r="D10" i="31"/>
  <c r="G194" i="32" s="1"/>
  <c r="B10" i="31"/>
  <c r="C18" i="32" s="1"/>
  <c r="N9" i="31"/>
  <c r="D17" i="32" s="1"/>
  <c r="M9" i="31"/>
  <c r="K9" i="31"/>
  <c r="L9" i="31" s="1"/>
  <c r="D9" i="31"/>
  <c r="G193" i="32" s="1"/>
  <c r="B9" i="31"/>
  <c r="C17" i="32" s="1"/>
  <c r="N8" i="31"/>
  <c r="D16" i="32" s="1"/>
  <c r="M8" i="31"/>
  <c r="K8" i="31"/>
  <c r="L8" i="31" s="1"/>
  <c r="D8" i="31"/>
  <c r="G192" i="32" s="1"/>
  <c r="B8" i="31"/>
  <c r="C16" i="32" s="1"/>
  <c r="N7" i="31"/>
  <c r="D15" i="32" s="1"/>
  <c r="M7" i="31"/>
  <c r="K7" i="31"/>
  <c r="L7" i="31" s="1"/>
  <c r="D7" i="31"/>
  <c r="G191" i="32" s="1"/>
  <c r="B7" i="31"/>
  <c r="C15" i="32" s="1"/>
  <c r="O29" i="31" l="1"/>
  <c r="R29" i="31" s="1"/>
  <c r="O15" i="31"/>
  <c r="R15" i="31" s="1"/>
  <c r="O19" i="31"/>
  <c r="O30" i="31"/>
  <c r="O20" i="31"/>
  <c r="R20" i="31" s="1"/>
  <c r="O23" i="31"/>
  <c r="R23" i="31" s="1"/>
  <c r="Q16" i="31"/>
  <c r="D177" i="32" a="1"/>
  <c r="D177" i="32" s="1"/>
  <c r="D176" i="32" a="1"/>
  <c r="D176" i="32" s="1"/>
  <c r="D153" i="32" a="1"/>
  <c r="D153" i="32" s="1"/>
  <c r="D170" i="32" a="1"/>
  <c r="D170" i="32" s="1"/>
  <c r="D152" i="32" a="1"/>
  <c r="D152" i="32" s="1"/>
  <c r="D181" i="32" a="1"/>
  <c r="D181" i="32" s="1"/>
  <c r="D173" i="32" a="1"/>
  <c r="D173" i="32" s="1"/>
  <c r="D146" i="32" a="1"/>
  <c r="D146" i="32" s="1"/>
  <c r="D171" i="32" a="1"/>
  <c r="D171" i="32" s="1"/>
  <c r="D169" i="32" a="1"/>
  <c r="D169" i="32" s="1"/>
  <c r="D151" i="32" a="1"/>
  <c r="D151" i="32" s="1"/>
  <c r="D154" i="32" a="1"/>
  <c r="D154" i="32" s="1"/>
  <c r="D166" i="32" a="1"/>
  <c r="D166" i="32" s="1"/>
  <c r="D157" i="32" a="1"/>
  <c r="D157" i="32" s="1"/>
  <c r="D180" i="32" a="1"/>
  <c r="D180" i="32" s="1"/>
  <c r="D167" i="32" a="1"/>
  <c r="D167" i="32" s="1"/>
  <c r="D179" i="32" a="1"/>
  <c r="D179" i="32" s="1"/>
  <c r="D156" i="32" a="1"/>
  <c r="D156" i="32" s="1"/>
  <c r="D149" i="32" a="1"/>
  <c r="D149" i="32" s="1"/>
  <c r="D139" i="32" a="1"/>
  <c r="D139" i="32" s="1"/>
  <c r="D168" i="32" a="1"/>
  <c r="D168" i="32" s="1"/>
  <c r="D182" i="32" a="1"/>
  <c r="D182" i="32" s="1"/>
  <c r="D178" i="32" a="1"/>
  <c r="D178" i="32" s="1"/>
  <c r="D162" i="32" a="1"/>
  <c r="D162" i="32" s="1"/>
  <c r="D145" i="32" a="1"/>
  <c r="D145" i="32" s="1"/>
  <c r="D175" i="32" a="1"/>
  <c r="D175" i="32" s="1"/>
  <c r="D158" i="32" a="1"/>
  <c r="D158" i="32" s="1"/>
  <c r="D159" i="32" a="1"/>
  <c r="D159" i="32" s="1"/>
  <c r="D141" i="32" a="1"/>
  <c r="D141" i="32" s="1"/>
  <c r="D140" i="32" a="1"/>
  <c r="D140" i="32" s="1"/>
  <c r="D133" i="32" a="1"/>
  <c r="D133" i="32" s="1"/>
  <c r="D114" i="32" a="1"/>
  <c r="D114" i="32" s="1"/>
  <c r="D132" i="32" a="1"/>
  <c r="D132" i="32" s="1"/>
  <c r="D113" i="32" a="1"/>
  <c r="D113" i="32" s="1"/>
  <c r="D97" i="32" a="1"/>
  <c r="D97" i="32" s="1"/>
  <c r="D81" i="32" a="1"/>
  <c r="D81" i="32" s="1"/>
  <c r="D96" i="32" a="1"/>
  <c r="D96" i="32" s="1"/>
  <c r="D104" i="32" a="1"/>
  <c r="D104" i="32" s="1"/>
  <c r="D131" i="32" a="1"/>
  <c r="D131" i="32" s="1"/>
  <c r="D112" i="32" a="1"/>
  <c r="D112" i="32" s="1"/>
  <c r="D79" i="32" a="1"/>
  <c r="D79" i="32" s="1"/>
  <c r="D130" i="32" a="1"/>
  <c r="D130" i="32" s="1"/>
  <c r="D111" i="32" a="1"/>
  <c r="D111" i="32" s="1"/>
  <c r="D95" i="32" a="1"/>
  <c r="D95" i="32" s="1"/>
  <c r="D78" i="32" a="1"/>
  <c r="D78" i="32" s="1"/>
  <c r="D71" i="32" a="1"/>
  <c r="D71" i="32" s="1"/>
  <c r="D129" i="32" a="1"/>
  <c r="D129" i="32" s="1"/>
  <c r="D110" i="32" a="1"/>
  <c r="D110" i="32" s="1"/>
  <c r="D94" i="32" a="1"/>
  <c r="D94" i="32" s="1"/>
  <c r="D77" i="32" a="1"/>
  <c r="D77" i="32" s="1"/>
  <c r="D109" i="32" a="1"/>
  <c r="D109" i="32" s="1"/>
  <c r="D93" i="32" a="1"/>
  <c r="D93" i="32" s="1"/>
  <c r="D76" i="32" a="1"/>
  <c r="D76" i="32" s="1"/>
  <c r="D128" i="32" a="1"/>
  <c r="D128" i="32" s="1"/>
  <c r="D68" i="32" a="1"/>
  <c r="D68" i="32" s="1"/>
  <c r="D150" i="32" a="1"/>
  <c r="D150" i="32" s="1"/>
  <c r="D127" i="32" a="1"/>
  <c r="D127" i="32" s="1"/>
  <c r="D108" i="32" a="1"/>
  <c r="D108" i="32" s="1"/>
  <c r="D92" i="32" a="1"/>
  <c r="D92" i="32" s="1"/>
  <c r="D75" i="32" a="1"/>
  <c r="D75" i="32" s="1"/>
  <c r="D90" i="32" a="1"/>
  <c r="D90" i="32" s="1"/>
  <c r="D88" i="32" a="1"/>
  <c r="D88" i="32" s="1"/>
  <c r="D148" i="32" a="1"/>
  <c r="D148" i="32" s="1"/>
  <c r="D126" i="32" a="1"/>
  <c r="D126" i="32" s="1"/>
  <c r="D107" i="32" a="1"/>
  <c r="D107" i="32" s="1"/>
  <c r="D91" i="32" a="1"/>
  <c r="D91" i="32" s="1"/>
  <c r="D74" i="32" a="1"/>
  <c r="D74" i="32" s="1"/>
  <c r="D106" i="32" a="1"/>
  <c r="D106" i="32" s="1"/>
  <c r="D105" i="32" a="1"/>
  <c r="D105" i="32" s="1"/>
  <c r="D147" i="32" a="1"/>
  <c r="D147" i="32" s="1"/>
  <c r="D122" i="32" a="1"/>
  <c r="D122" i="32" s="1"/>
  <c r="D73" i="32" a="1"/>
  <c r="D73" i="32" s="1"/>
  <c r="D144" i="32" a="1"/>
  <c r="D144" i="32" s="1"/>
  <c r="D121" i="32" a="1"/>
  <c r="D121" i="32" s="1"/>
  <c r="D89" i="32" a="1"/>
  <c r="D89" i="32" s="1"/>
  <c r="D142" i="32" a="1"/>
  <c r="D142" i="32" s="1"/>
  <c r="D120" i="32" a="1"/>
  <c r="D120" i="32" s="1"/>
  <c r="D138" i="32" a="1"/>
  <c r="D138" i="32" s="1"/>
  <c r="D119" i="32" a="1"/>
  <c r="D119" i="32" s="1"/>
  <c r="D103" i="32" a="1"/>
  <c r="D103" i="32" s="1"/>
  <c r="D87" i="32" a="1"/>
  <c r="D87" i="32" s="1"/>
  <c r="D70" i="32" a="1"/>
  <c r="D70" i="32" s="1"/>
  <c r="D137" i="32" a="1"/>
  <c r="D137" i="32" s="1"/>
  <c r="D118" i="32" a="1"/>
  <c r="D118" i="32" s="1"/>
  <c r="D102" i="32" a="1"/>
  <c r="D102" i="32" s="1"/>
  <c r="D86" i="32" a="1"/>
  <c r="D86" i="32" s="1"/>
  <c r="D69" i="32" a="1"/>
  <c r="D69" i="32" s="1"/>
  <c r="D101" i="32" a="1"/>
  <c r="D101" i="32" s="1"/>
  <c r="D85" i="32" a="1"/>
  <c r="D85" i="32" s="1"/>
  <c r="D136" i="32" a="1"/>
  <c r="D136" i="32" s="1"/>
  <c r="D117" i="32" a="1"/>
  <c r="D117" i="32" s="1"/>
  <c r="D135" i="32" a="1"/>
  <c r="D135" i="32" s="1"/>
  <c r="D116" i="32" a="1"/>
  <c r="D116" i="32" s="1"/>
  <c r="D100" i="32" a="1"/>
  <c r="D100" i="32" s="1"/>
  <c r="D84" i="32" a="1"/>
  <c r="D84" i="32" s="1"/>
  <c r="D67" i="32" a="1"/>
  <c r="D67" i="32" s="1"/>
  <c r="D82" i="32" a="1"/>
  <c r="D82" i="32" s="1"/>
  <c r="D134" i="32" a="1"/>
  <c r="D134" i="32" s="1"/>
  <c r="D115" i="32" a="1"/>
  <c r="D115" i="32" s="1"/>
  <c r="D99" i="32" a="1"/>
  <c r="D99" i="32" s="1"/>
  <c r="D83" i="32" a="1"/>
  <c r="D83" i="32" s="1"/>
  <c r="D66" i="32" a="1"/>
  <c r="D66" i="32" s="1"/>
  <c r="D98" i="32" a="1"/>
  <c r="D98" i="32" s="1"/>
  <c r="D72" i="32" a="1"/>
  <c r="D72" i="32" s="1"/>
  <c r="D161" i="32" a="1"/>
  <c r="D161" i="32" s="1"/>
  <c r="D80" i="32" a="1"/>
  <c r="D80" i="32" s="1"/>
  <c r="D174" i="32" a="1"/>
  <c r="D174" i="32" s="1"/>
  <c r="D160" i="32" a="1"/>
  <c r="D160" i="32" s="1"/>
  <c r="D163" i="32" a="1"/>
  <c r="D163" i="32" s="1"/>
  <c r="D183" i="32" a="1"/>
  <c r="D183" i="32" s="1"/>
  <c r="D172" i="32" a="1"/>
  <c r="D172" i="32" s="1"/>
  <c r="D165" i="32" a="1"/>
  <c r="D165" i="32" s="1"/>
  <c r="D155" i="32" a="1"/>
  <c r="D155" i="32" s="1"/>
  <c r="D65" i="32" a="1"/>
  <c r="D65" i="32" s="1"/>
  <c r="D164" i="32" a="1"/>
  <c r="D164" i="32" s="1"/>
  <c r="D143" i="32" a="1"/>
  <c r="D143" i="32" s="1"/>
  <c r="O25" i="31"/>
  <c r="R25" i="31" s="1"/>
  <c r="O18" i="31"/>
  <c r="Q18" i="31" s="1"/>
  <c r="O14" i="31"/>
  <c r="R14" i="31" s="1"/>
  <c r="Q24" i="31"/>
  <c r="O7" i="31"/>
  <c r="R7" i="31" s="1"/>
  <c r="O13" i="31"/>
  <c r="Q13" i="31" s="1"/>
  <c r="O17" i="31"/>
  <c r="R17" i="31" s="1"/>
  <c r="R30" i="31"/>
  <c r="O8" i="31"/>
  <c r="R8" i="31" s="1"/>
  <c r="O10" i="31"/>
  <c r="Q10" i="31" s="1"/>
  <c r="O11" i="31"/>
  <c r="R11" i="31" s="1"/>
  <c r="O12" i="31"/>
  <c r="R12" i="31" s="1"/>
  <c r="R24" i="31"/>
  <c r="O9" i="31"/>
  <c r="R9" i="31" s="1"/>
  <c r="L14" i="31"/>
  <c r="R16" i="31"/>
  <c r="L25" i="31"/>
  <c r="O27" i="31"/>
  <c r="R27" i="31" s="1"/>
  <c r="O21" i="31"/>
  <c r="R21" i="31" s="1"/>
  <c r="O22" i="31"/>
  <c r="Q22" i="31" s="1"/>
  <c r="Q30" i="31"/>
  <c r="L17" i="31"/>
  <c r="R19" i="31"/>
  <c r="Q26" i="31"/>
  <c r="Q28" i="31"/>
  <c r="Q29" i="31"/>
  <c r="Q20" i="31"/>
  <c r="L11" i="31"/>
  <c r="L19" i="31"/>
  <c r="Q19" i="31" s="1"/>
  <c r="R26" i="31"/>
  <c r="L27" i="31"/>
  <c r="R28" i="31"/>
  <c r="K7" i="21"/>
  <c r="L7" i="21" s="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J191" i="27" s="1"/>
  <c r="D32" i="21"/>
  <c r="J192" i="27" s="1"/>
  <c r="D33" i="21"/>
  <c r="J193" i="27" s="1"/>
  <c r="D34" i="21"/>
  <c r="J194" i="27" s="1"/>
  <c r="D35" i="21"/>
  <c r="J195" i="27" s="1"/>
  <c r="D36" i="21"/>
  <c r="J196" i="27" s="1"/>
  <c r="D37" i="21"/>
  <c r="J197" i="27" s="1"/>
  <c r="D38" i="21"/>
  <c r="J198" i="27" s="1"/>
  <c r="D39" i="21"/>
  <c r="J199" i="27" s="1"/>
  <c r="D40" i="21"/>
  <c r="J200" i="27" s="1"/>
  <c r="D41" i="21"/>
  <c r="J201" i="27" s="1"/>
  <c r="D42" i="21"/>
  <c r="J202" i="27" s="1"/>
  <c r="D43" i="21"/>
  <c r="J203" i="27" s="1"/>
  <c r="D44" i="21"/>
  <c r="J204" i="27" s="1"/>
  <c r="D45" i="21"/>
  <c r="J205" i="27" s="1"/>
  <c r="D46" i="21"/>
  <c r="J206" i="27" s="1"/>
  <c r="D47" i="21"/>
  <c r="J207" i="27" s="1"/>
  <c r="D48" i="21"/>
  <c r="J208" i="27" s="1"/>
  <c r="D49" i="21"/>
  <c r="J209" i="27" s="1"/>
  <c r="D50" i="21"/>
  <c r="J210" i="27" s="1"/>
  <c r="D51" i="21"/>
  <c r="J211" i="27" s="1"/>
  <c r="D52" i="21"/>
  <c r="J212" i="27" s="1"/>
  <c r="D53" i="21"/>
  <c r="J213" i="27" s="1"/>
  <c r="D7" i="21"/>
  <c r="D11" i="27"/>
  <c r="D10" i="27"/>
  <c r="D9" i="27"/>
  <c r="D8" i="27"/>
  <c r="D7" i="27"/>
  <c r="B3" i="27"/>
  <c r="Q15" i="31" l="1"/>
  <c r="S15" i="31" s="1"/>
  <c r="Q23" i="31"/>
  <c r="S23" i="31" s="1"/>
  <c r="S29" i="31"/>
  <c r="Q14" i="31"/>
  <c r="S14" i="31" s="1"/>
  <c r="S16" i="31"/>
  <c r="R13" i="31"/>
  <c r="S13" i="31" s="1"/>
  <c r="S24" i="31"/>
  <c r="Q27" i="31"/>
  <c r="S27" i="31" s="1"/>
  <c r="S30" i="31"/>
  <c r="Q17" i="31"/>
  <c r="S17" i="31" s="1"/>
  <c r="G211" i="27"/>
  <c r="G199" i="27"/>
  <c r="Q8" i="31"/>
  <c r="S8" i="31" s="1"/>
  <c r="Q25" i="31"/>
  <c r="S25" i="31" s="1"/>
  <c r="G210" i="27"/>
  <c r="R18" i="31"/>
  <c r="S18" i="31" s="1"/>
  <c r="G209" i="27"/>
  <c r="G197" i="27"/>
  <c r="G203" i="27"/>
  <c r="G201" i="27"/>
  <c r="G212" i="27"/>
  <c r="G200" i="27"/>
  <c r="G198" i="27"/>
  <c r="G208" i="27"/>
  <c r="G196" i="27"/>
  <c r="R10" i="31"/>
  <c r="S10" i="31" s="1"/>
  <c r="G213" i="27"/>
  <c r="Q7" i="31"/>
  <c r="G206" i="27"/>
  <c r="G194" i="27"/>
  <c r="Q21" i="31"/>
  <c r="S21" i="31" s="1"/>
  <c r="G191" i="27"/>
  <c r="G207" i="27"/>
  <c r="R22" i="31"/>
  <c r="S22" i="31" s="1"/>
  <c r="G205" i="27"/>
  <c r="G193" i="27"/>
  <c r="Q12" i="31"/>
  <c r="S12" i="31" s="1"/>
  <c r="G195" i="27"/>
  <c r="G204" i="27"/>
  <c r="G192" i="27"/>
  <c r="G214" i="27"/>
  <c r="G202" i="27"/>
  <c r="Q9" i="31"/>
  <c r="Q11" i="31"/>
  <c r="S11" i="31" s="1"/>
  <c r="S28" i="31"/>
  <c r="S20" i="31"/>
  <c r="S26" i="31"/>
  <c r="S19" i="31"/>
  <c r="K11" i="21"/>
  <c r="R33" i="31" l="1"/>
  <c r="AC32" i="31" s="1"/>
  <c r="S7" i="31"/>
  <c r="Q33" i="31"/>
  <c r="S9" i="31"/>
  <c r="M7" i="21"/>
  <c r="M8" i="21"/>
  <c r="M9" i="21"/>
  <c r="M10" i="21"/>
  <c r="M11" i="21"/>
  <c r="M12" i="21"/>
  <c r="M13" i="21"/>
  <c r="M14" i="21"/>
  <c r="M15" i="21"/>
  <c r="M16" i="21"/>
  <c r="M17" i="21"/>
  <c r="M18" i="21"/>
  <c r="M19" i="21"/>
  <c r="M20" i="21"/>
  <c r="M21" i="21"/>
  <c r="M22" i="21"/>
  <c r="M23" i="21"/>
  <c r="M24" i="21"/>
  <c r="M25" i="21"/>
  <c r="M26" i="21"/>
  <c r="M27" i="21"/>
  <c r="M28" i="21"/>
  <c r="M29" i="21"/>
  <c r="M30" i="21"/>
  <c r="M31" i="21"/>
  <c r="M32" i="21"/>
  <c r="M33" i="21"/>
  <c r="M34" i="21"/>
  <c r="M35" i="21"/>
  <c r="M36" i="21"/>
  <c r="M37" i="21"/>
  <c r="M38" i="21"/>
  <c r="M39" i="21"/>
  <c r="M40" i="21"/>
  <c r="M41" i="21"/>
  <c r="M42" i="21"/>
  <c r="M43" i="21"/>
  <c r="M44" i="21"/>
  <c r="M45" i="21"/>
  <c r="M46" i="21"/>
  <c r="M47" i="21"/>
  <c r="M48" i="21"/>
  <c r="M49" i="21"/>
  <c r="M50" i="21"/>
  <c r="M51" i="21"/>
  <c r="M52" i="21"/>
  <c r="M53" i="21"/>
  <c r="S33" i="31" l="1"/>
  <c r="AA32" i="31"/>
  <c r="K8" i="21"/>
  <c r="K9" i="21"/>
  <c r="K10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K38" i="21"/>
  <c r="K39" i="21"/>
  <c r="K40" i="21"/>
  <c r="K41" i="21"/>
  <c r="K42" i="21"/>
  <c r="K43" i="21"/>
  <c r="K44" i="21"/>
  <c r="K45" i="21"/>
  <c r="K46" i="21"/>
  <c r="K47" i="21"/>
  <c r="K48" i="21"/>
  <c r="K49" i="21"/>
  <c r="K50" i="21"/>
  <c r="K51" i="21"/>
  <c r="K52" i="21"/>
  <c r="K53" i="21"/>
  <c r="L18" i="21" l="1"/>
  <c r="L13" i="21"/>
  <c r="L31" i="21"/>
  <c r="L39" i="21"/>
  <c r="L8" i="21"/>
  <c r="L27" i="21"/>
  <c r="L35" i="21"/>
  <c r="L51" i="21"/>
  <c r="L11" i="21"/>
  <c r="L43" i="21"/>
  <c r="L15" i="21"/>
  <c r="L47" i="21"/>
  <c r="L53" i="21"/>
  <c r="L45" i="21"/>
  <c r="L37" i="21"/>
  <c r="L21" i="21"/>
  <c r="L19" i="21"/>
  <c r="L52" i="21"/>
  <c r="L44" i="21"/>
  <c r="L36" i="21"/>
  <c r="L28" i="21"/>
  <c r="L20" i="21"/>
  <c r="L12" i="21"/>
  <c r="L23" i="21"/>
  <c r="L29" i="21"/>
  <c r="L14" i="21"/>
  <c r="L22" i="21"/>
  <c r="L30" i="21"/>
  <c r="L38" i="21"/>
  <c r="L46" i="21"/>
  <c r="L16" i="21"/>
  <c r="L24" i="21"/>
  <c r="L32" i="21"/>
  <c r="L40" i="21"/>
  <c r="L48" i="21"/>
  <c r="L25" i="21"/>
  <c r="L41" i="21"/>
  <c r="L17" i="21"/>
  <c r="L33" i="21"/>
  <c r="L49" i="21"/>
  <c r="L9" i="21"/>
  <c r="L26" i="21"/>
  <c r="L34" i="21"/>
  <c r="L42" i="21"/>
  <c r="L50" i="21"/>
  <c r="L10" i="21"/>
  <c r="C73" i="27"/>
  <c r="N8" i="21"/>
  <c r="N9" i="21"/>
  <c r="N10" i="21"/>
  <c r="N11" i="21"/>
  <c r="N12" i="21"/>
  <c r="N13" i="21"/>
  <c r="N14" i="21"/>
  <c r="N15" i="21"/>
  <c r="N16" i="21"/>
  <c r="N17" i="21"/>
  <c r="N18" i="21"/>
  <c r="N19" i="21"/>
  <c r="N20" i="21"/>
  <c r="N21" i="21"/>
  <c r="N22" i="21"/>
  <c r="N23" i="21"/>
  <c r="N24" i="21"/>
  <c r="N25" i="21"/>
  <c r="N26" i="21"/>
  <c r="N27" i="21"/>
  <c r="N28" i="21"/>
  <c r="N29" i="21"/>
  <c r="N30" i="21"/>
  <c r="N31" i="21"/>
  <c r="N32" i="21"/>
  <c r="N33" i="21"/>
  <c r="N34" i="21"/>
  <c r="N35" i="21"/>
  <c r="N36" i="21"/>
  <c r="N37" i="21"/>
  <c r="N38" i="21"/>
  <c r="N39" i="21"/>
  <c r="N40" i="21"/>
  <c r="N41" i="21"/>
  <c r="N42" i="21"/>
  <c r="N43" i="21"/>
  <c r="N44" i="21"/>
  <c r="N45" i="21"/>
  <c r="N46" i="21"/>
  <c r="N47" i="21"/>
  <c r="N48" i="21"/>
  <c r="N49" i="21"/>
  <c r="N50" i="21"/>
  <c r="N51" i="21"/>
  <c r="N52" i="21"/>
  <c r="N53" i="21"/>
  <c r="N7" i="21"/>
  <c r="C130" i="27"/>
  <c r="C127" i="27"/>
  <c r="C128" i="27"/>
  <c r="C129" i="27"/>
  <c r="C131" i="27"/>
  <c r="C132" i="27"/>
  <c r="C133" i="27"/>
  <c r="C134" i="27"/>
  <c r="C135" i="27"/>
  <c r="C136" i="27"/>
  <c r="C137" i="27"/>
  <c r="C138" i="27"/>
  <c r="C139" i="27"/>
  <c r="C140" i="27"/>
  <c r="C141" i="27"/>
  <c r="C142" i="27"/>
  <c r="C143" i="27"/>
  <c r="C144" i="27"/>
  <c r="C145" i="27"/>
  <c r="C146" i="27"/>
  <c r="C147" i="27"/>
  <c r="C148" i="27"/>
  <c r="C149" i="27"/>
  <c r="C150" i="27"/>
  <c r="C151" i="27"/>
  <c r="C152" i="27"/>
  <c r="C153" i="27"/>
  <c r="C154" i="27"/>
  <c r="C155" i="27"/>
  <c r="C156" i="27"/>
  <c r="C157" i="27"/>
  <c r="C158" i="27"/>
  <c r="C159" i="27"/>
  <c r="C160" i="27"/>
  <c r="C161" i="27"/>
  <c r="C162" i="27"/>
  <c r="C163" i="27"/>
  <c r="C164" i="27"/>
  <c r="C165" i="27"/>
  <c r="C166" i="27"/>
  <c r="C167" i="27"/>
  <c r="C168" i="27"/>
  <c r="C169" i="27"/>
  <c r="C170" i="27"/>
  <c r="C171" i="27"/>
  <c r="C172" i="27"/>
  <c r="C173" i="27"/>
  <c r="C174" i="27"/>
  <c r="C175" i="27"/>
  <c r="C176" i="27"/>
  <c r="C177" i="27"/>
  <c r="C178" i="27"/>
  <c r="C179" i="27"/>
  <c r="C180" i="27"/>
  <c r="C181" i="27"/>
  <c r="C182" i="27"/>
  <c r="C183" i="27"/>
  <c r="C126" i="27"/>
  <c r="C65" i="27"/>
  <c r="B127" i="27"/>
  <c r="B128" i="27"/>
  <c r="B129" i="27"/>
  <c r="B130" i="27"/>
  <c r="B131" i="27"/>
  <c r="B132" i="27"/>
  <c r="B133" i="27"/>
  <c r="B134" i="27"/>
  <c r="B135" i="27"/>
  <c r="B136" i="27"/>
  <c r="B137" i="27"/>
  <c r="B138" i="27"/>
  <c r="B139" i="27"/>
  <c r="B140" i="27"/>
  <c r="B141" i="27"/>
  <c r="B142" i="27"/>
  <c r="B143" i="27"/>
  <c r="B144" i="27"/>
  <c r="B145" i="27"/>
  <c r="B146" i="27"/>
  <c r="B147" i="27"/>
  <c r="B148" i="27"/>
  <c r="B149" i="27"/>
  <c r="B150" i="27"/>
  <c r="B151" i="27"/>
  <c r="B152" i="27"/>
  <c r="B153" i="27"/>
  <c r="B154" i="27"/>
  <c r="B155" i="27"/>
  <c r="B156" i="27"/>
  <c r="B157" i="27"/>
  <c r="B158" i="27"/>
  <c r="B159" i="27"/>
  <c r="B160" i="27"/>
  <c r="B161" i="27"/>
  <c r="B162" i="27"/>
  <c r="B163" i="27"/>
  <c r="B164" i="27"/>
  <c r="B165" i="27"/>
  <c r="B166" i="27"/>
  <c r="B167" i="27"/>
  <c r="B168" i="27"/>
  <c r="B169" i="27"/>
  <c r="B170" i="27"/>
  <c r="B171" i="27"/>
  <c r="B172" i="27"/>
  <c r="B173" i="27"/>
  <c r="B174" i="27"/>
  <c r="B175" i="27"/>
  <c r="B176" i="27"/>
  <c r="B177" i="27"/>
  <c r="B178" i="27"/>
  <c r="B179" i="27"/>
  <c r="B180" i="27"/>
  <c r="B181" i="27"/>
  <c r="B182" i="27"/>
  <c r="B183" i="27"/>
  <c r="B126" i="27"/>
  <c r="B65" i="27"/>
  <c r="C122" i="27"/>
  <c r="B122" i="27"/>
  <c r="C121" i="27"/>
  <c r="B121" i="27"/>
  <c r="C120" i="27"/>
  <c r="B120" i="27"/>
  <c r="C119" i="27"/>
  <c r="B119" i="27"/>
  <c r="C118" i="27"/>
  <c r="B118" i="27"/>
  <c r="C117" i="27"/>
  <c r="B117" i="27"/>
  <c r="C66" i="27"/>
  <c r="C67" i="27"/>
  <c r="C68" i="27"/>
  <c r="C69" i="27"/>
  <c r="C70" i="27"/>
  <c r="C71" i="27"/>
  <c r="C72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C104" i="27"/>
  <c r="C105" i="27"/>
  <c r="C106" i="27"/>
  <c r="C107" i="27"/>
  <c r="C108" i="27"/>
  <c r="C109" i="27"/>
  <c r="C110" i="27"/>
  <c r="C111" i="27"/>
  <c r="C112" i="27"/>
  <c r="C113" i="27"/>
  <c r="C114" i="27"/>
  <c r="C115" i="27"/>
  <c r="C116" i="27"/>
  <c r="B66" i="27"/>
  <c r="B67" i="27"/>
  <c r="B68" i="27"/>
  <c r="B69" i="27"/>
  <c r="B70" i="27"/>
  <c r="B71" i="27"/>
  <c r="B72" i="27"/>
  <c r="B73" i="27"/>
  <c r="B74" i="27"/>
  <c r="B75" i="27"/>
  <c r="B76" i="27"/>
  <c r="B77" i="27"/>
  <c r="B78" i="27"/>
  <c r="B79" i="27"/>
  <c r="B80" i="27"/>
  <c r="B81" i="27"/>
  <c r="B82" i="27"/>
  <c r="B83" i="27"/>
  <c r="B84" i="27"/>
  <c r="B85" i="27"/>
  <c r="B86" i="27"/>
  <c r="B87" i="27"/>
  <c r="B88" i="27"/>
  <c r="B89" i="27"/>
  <c r="B90" i="27"/>
  <c r="B91" i="27"/>
  <c r="B92" i="27"/>
  <c r="B93" i="27"/>
  <c r="B94" i="27"/>
  <c r="B95" i="27"/>
  <c r="B96" i="27"/>
  <c r="B97" i="27"/>
  <c r="B98" i="27"/>
  <c r="B99" i="27"/>
  <c r="B100" i="27"/>
  <c r="B101" i="27"/>
  <c r="B102" i="27"/>
  <c r="B103" i="27"/>
  <c r="B104" i="27"/>
  <c r="B105" i="27"/>
  <c r="B106" i="27"/>
  <c r="B107" i="27"/>
  <c r="B108" i="27"/>
  <c r="B109" i="27"/>
  <c r="B110" i="27"/>
  <c r="B111" i="27"/>
  <c r="B112" i="27"/>
  <c r="B113" i="27"/>
  <c r="B114" i="27"/>
  <c r="B115" i="27"/>
  <c r="B116" i="27"/>
  <c r="F214" i="27"/>
  <c r="I213" i="27"/>
  <c r="F213" i="27"/>
  <c r="I212" i="27"/>
  <c r="F212" i="27"/>
  <c r="I211" i="27"/>
  <c r="F211" i="27"/>
  <c r="I210" i="27"/>
  <c r="F210" i="27"/>
  <c r="I209" i="27"/>
  <c r="F209" i="27"/>
  <c r="I208" i="27"/>
  <c r="F208" i="27"/>
  <c r="I207" i="27"/>
  <c r="F207" i="27"/>
  <c r="I206" i="27"/>
  <c r="F206" i="27"/>
  <c r="I205" i="27"/>
  <c r="F205" i="27"/>
  <c r="I204" i="27"/>
  <c r="F204" i="27"/>
  <c r="I203" i="27"/>
  <c r="F203" i="27"/>
  <c r="I202" i="27"/>
  <c r="F202" i="27"/>
  <c r="I201" i="27"/>
  <c r="F201" i="27"/>
  <c r="I200" i="27"/>
  <c r="F200" i="27"/>
  <c r="I199" i="27"/>
  <c r="F199" i="27"/>
  <c r="I198" i="27"/>
  <c r="F198" i="27"/>
  <c r="I197" i="27"/>
  <c r="F197" i="27"/>
  <c r="I196" i="27"/>
  <c r="F196" i="27"/>
  <c r="I195" i="27"/>
  <c r="F195" i="27"/>
  <c r="I194" i="27"/>
  <c r="F194" i="27"/>
  <c r="I193" i="27"/>
  <c r="F193" i="27"/>
  <c r="I192" i="27"/>
  <c r="F192" i="27"/>
  <c r="I191" i="27"/>
  <c r="F191" i="27"/>
  <c r="B61" i="27"/>
  <c r="B60" i="27"/>
  <c r="B59" i="27"/>
  <c r="B58" i="27"/>
  <c r="B57" i="27"/>
  <c r="B56" i="27"/>
  <c r="B55" i="27"/>
  <c r="B54" i="27"/>
  <c r="B53" i="27"/>
  <c r="B52" i="27"/>
  <c r="B51" i="27"/>
  <c r="B50" i="27"/>
  <c r="B49" i="27"/>
  <c r="B48" i="27"/>
  <c r="B47" i="27"/>
  <c r="B46" i="27"/>
  <c r="B45" i="27"/>
  <c r="B44" i="27"/>
  <c r="B43" i="27"/>
  <c r="B42" i="27"/>
  <c r="B41" i="27"/>
  <c r="B40" i="27"/>
  <c r="B39" i="27"/>
  <c r="B38" i="27"/>
  <c r="B37" i="27"/>
  <c r="B36" i="27"/>
  <c r="B35" i="27"/>
  <c r="B34" i="27"/>
  <c r="B33" i="27"/>
  <c r="B32" i="27"/>
  <c r="B31" i="27"/>
  <c r="B30" i="27"/>
  <c r="B29" i="27"/>
  <c r="B28" i="27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D42" i="27" l="1"/>
  <c r="D181" i="27"/>
  <c r="D169" i="27"/>
  <c r="D157" i="27"/>
  <c r="D145" i="27"/>
  <c r="D180" i="27"/>
  <c r="D168" i="27"/>
  <c r="D156" i="27"/>
  <c r="D144" i="27"/>
  <c r="D131" i="27"/>
  <c r="D179" i="27"/>
  <c r="D167" i="27"/>
  <c r="D155" i="27"/>
  <c r="D143" i="27"/>
  <c r="D130" i="27"/>
  <c r="D178" i="27"/>
  <c r="D166" i="27"/>
  <c r="D154" i="27"/>
  <c r="D142" i="27"/>
  <c r="D127" i="27"/>
  <c r="D177" i="27"/>
  <c r="D165" i="27"/>
  <c r="D153" i="27"/>
  <c r="D141" i="27"/>
  <c r="D128" i="27"/>
  <c r="D176" i="27"/>
  <c r="D164" i="27"/>
  <c r="D152" i="27"/>
  <c r="D140" i="27"/>
  <c r="D175" i="27"/>
  <c r="D163" i="27"/>
  <c r="D151" i="27"/>
  <c r="D139" i="27"/>
  <c r="D126" i="27"/>
  <c r="D174" i="27"/>
  <c r="D162" i="27"/>
  <c r="D150" i="27"/>
  <c r="D138" i="27"/>
  <c r="D135" i="27"/>
  <c r="D173" i="27"/>
  <c r="D161" i="27"/>
  <c r="D149" i="27"/>
  <c r="D137" i="27"/>
  <c r="D132" i="27"/>
  <c r="D172" i="27"/>
  <c r="D160" i="27"/>
  <c r="D148" i="27"/>
  <c r="D136" i="27"/>
  <c r="D129" i="27"/>
  <c r="D183" i="27"/>
  <c r="D171" i="27"/>
  <c r="D159" i="27"/>
  <c r="D147" i="27"/>
  <c r="D134" i="27"/>
  <c r="D182" i="27"/>
  <c r="D170" i="27"/>
  <c r="D158" i="27"/>
  <c r="D146" i="27"/>
  <c r="D133" i="27"/>
  <c r="D119" i="27"/>
  <c r="D94" i="27"/>
  <c r="D65" i="27"/>
  <c r="D84" i="27"/>
  <c r="D117" i="27"/>
  <c r="D105" i="27"/>
  <c r="D93" i="27"/>
  <c r="D81" i="27"/>
  <c r="D72" i="27"/>
  <c r="D116" i="27"/>
  <c r="D104" i="27"/>
  <c r="D92" i="27"/>
  <c r="D80" i="27"/>
  <c r="D74" i="27"/>
  <c r="D85" i="27"/>
  <c r="D115" i="27"/>
  <c r="D103" i="27"/>
  <c r="D91" i="27"/>
  <c r="D79" i="27"/>
  <c r="D102" i="27"/>
  <c r="D78" i="27"/>
  <c r="D118" i="27"/>
  <c r="D114" i="27"/>
  <c r="D90" i="27"/>
  <c r="D86" i="27"/>
  <c r="D73" i="27"/>
  <c r="D113" i="27"/>
  <c r="D101" i="27"/>
  <c r="D89" i="27"/>
  <c r="D77" i="27"/>
  <c r="D97" i="27"/>
  <c r="D112" i="27"/>
  <c r="D100" i="27"/>
  <c r="D88" i="27"/>
  <c r="D76" i="27"/>
  <c r="D110" i="27"/>
  <c r="D109" i="27"/>
  <c r="D111" i="27"/>
  <c r="D99" i="27"/>
  <c r="D87" i="27"/>
  <c r="D75" i="27"/>
  <c r="D98" i="27"/>
  <c r="D122" i="27"/>
  <c r="D121" i="27"/>
  <c r="D108" i="27"/>
  <c r="D96" i="27"/>
  <c r="D120" i="27"/>
  <c r="D107" i="27"/>
  <c r="D95" i="27"/>
  <c r="D83" i="27"/>
  <c r="D71" i="27"/>
  <c r="D106" i="27"/>
  <c r="D82" i="27"/>
  <c r="D67" i="27"/>
  <c r="D68" i="27"/>
  <c r="D69" i="27"/>
  <c r="D66" i="27"/>
  <c r="D70" i="27"/>
  <c r="D52" i="27"/>
  <c r="D40" i="27"/>
  <c r="D28" i="27"/>
  <c r="D16" i="27"/>
  <c r="D51" i="27"/>
  <c r="D39" i="27"/>
  <c r="D27" i="27"/>
  <c r="D54" i="27"/>
  <c r="D50" i="27"/>
  <c r="D38" i="27"/>
  <c r="D26" i="27"/>
  <c r="D61" i="27"/>
  <c r="D49" i="27"/>
  <c r="D37" i="27"/>
  <c r="D25" i="27"/>
  <c r="D41" i="27"/>
  <c r="D60" i="27"/>
  <c r="D48" i="27"/>
  <c r="D36" i="27"/>
  <c r="D24" i="27"/>
  <c r="D30" i="27"/>
  <c r="D17" i="27"/>
  <c r="D59" i="27"/>
  <c r="D47" i="27"/>
  <c r="D35" i="27"/>
  <c r="D23" i="27"/>
  <c r="D58" i="27"/>
  <c r="D46" i="27"/>
  <c r="D34" i="27"/>
  <c r="D22" i="27"/>
  <c r="D53" i="27"/>
  <c r="D57" i="27"/>
  <c r="D45" i="27"/>
  <c r="D33" i="27"/>
  <c r="D21" i="27"/>
  <c r="D56" i="27"/>
  <c r="D44" i="27"/>
  <c r="D32" i="27"/>
  <c r="D20" i="27"/>
  <c r="D18" i="27"/>
  <c r="D29" i="27"/>
  <c r="D55" i="27"/>
  <c r="D43" i="27"/>
  <c r="D31" i="27"/>
  <c r="D19" i="27"/>
  <c r="D15" i="27"/>
  <c r="J7" i="21" l="1"/>
  <c r="J8" i="21"/>
  <c r="J9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1" i="21"/>
  <c r="J52" i="21"/>
  <c r="J53" i="21"/>
  <c r="B7" i="21"/>
  <c r="O20" i="21" l="1"/>
  <c r="R20" i="21" s="1"/>
  <c r="O43" i="21"/>
  <c r="R43" i="21" s="1"/>
  <c r="O45" i="21"/>
  <c r="R45" i="21" s="1"/>
  <c r="O30" i="21"/>
  <c r="R30" i="21" s="1"/>
  <c r="O28" i="21"/>
  <c r="R28" i="21" s="1"/>
  <c r="O18" i="21"/>
  <c r="R18" i="21" s="1"/>
  <c r="O26" i="21"/>
  <c r="R26" i="21" s="1"/>
  <c r="O42" i="21"/>
  <c r="R42" i="21" s="1"/>
  <c r="O49" i="21"/>
  <c r="R49" i="21" s="1"/>
  <c r="O37" i="21"/>
  <c r="R37" i="21" s="1"/>
  <c r="O25" i="21"/>
  <c r="R25" i="21" s="1"/>
  <c r="O24" i="21"/>
  <c r="R24" i="21" s="1"/>
  <c r="C15" i="27"/>
  <c r="B53" i="21"/>
  <c r="B52" i="21"/>
  <c r="B51" i="21"/>
  <c r="B50" i="21"/>
  <c r="B49" i="21"/>
  <c r="B48" i="21"/>
  <c r="B47" i="21"/>
  <c r="B46" i="21"/>
  <c r="B45" i="21"/>
  <c r="B44" i="21"/>
  <c r="B43" i="21"/>
  <c r="B42" i="21"/>
  <c r="B41" i="21"/>
  <c r="B40" i="21"/>
  <c r="B39" i="21"/>
  <c r="B38" i="21"/>
  <c r="B37" i="21"/>
  <c r="B36" i="21"/>
  <c r="B35" i="21"/>
  <c r="B34" i="21"/>
  <c r="B33" i="21"/>
  <c r="B32" i="21"/>
  <c r="B31" i="21"/>
  <c r="B30" i="21"/>
  <c r="B29" i="21"/>
  <c r="B28" i="21"/>
  <c r="B27" i="21"/>
  <c r="B26" i="21"/>
  <c r="B25" i="21"/>
  <c r="B24" i="21"/>
  <c r="B23" i="21"/>
  <c r="B22" i="21"/>
  <c r="B21" i="21"/>
  <c r="B20" i="21"/>
  <c r="B19" i="21"/>
  <c r="B18" i="21"/>
  <c r="B17" i="21"/>
  <c r="B16" i="21"/>
  <c r="B15" i="21"/>
  <c r="B14" i="21"/>
  <c r="B13" i="21"/>
  <c r="B12" i="21"/>
  <c r="B11" i="21"/>
  <c r="B10" i="21"/>
  <c r="B9" i="21"/>
  <c r="B8" i="21"/>
  <c r="Q25" i="21" l="1"/>
  <c r="C26" i="27"/>
  <c r="C28" i="27"/>
  <c r="Q26" i="21"/>
  <c r="C17" i="27"/>
  <c r="C29" i="27"/>
  <c r="Q37" i="21"/>
  <c r="Q28" i="21"/>
  <c r="Q43" i="21"/>
  <c r="C38" i="27"/>
  <c r="Q49" i="21"/>
  <c r="C19" i="27"/>
  <c r="C20" i="27"/>
  <c r="C32" i="27"/>
  <c r="Q18" i="21"/>
  <c r="C27" i="27"/>
  <c r="C31" i="27"/>
  <c r="C21" i="27"/>
  <c r="C33" i="27"/>
  <c r="C16" i="27"/>
  <c r="C34" i="27"/>
  <c r="Q42" i="21"/>
  <c r="Q30" i="21"/>
  <c r="Q20" i="21"/>
  <c r="C18" i="27"/>
  <c r="C23" i="27"/>
  <c r="C35" i="27"/>
  <c r="Q24" i="21"/>
  <c r="C30" i="27"/>
  <c r="C24" i="27"/>
  <c r="C36" i="27"/>
  <c r="Q45" i="21"/>
  <c r="C22" i="27"/>
  <c r="C25" i="27"/>
  <c r="C37" i="27"/>
  <c r="C44" i="27"/>
  <c r="C60" i="27"/>
  <c r="C41" i="27"/>
  <c r="C61" i="27"/>
  <c r="C47" i="27"/>
  <c r="C46" i="27"/>
  <c r="C48" i="27"/>
  <c r="C43" i="27"/>
  <c r="C51" i="27"/>
  <c r="C52" i="27"/>
  <c r="C53" i="27"/>
  <c r="C54" i="27"/>
  <c r="C59" i="27"/>
  <c r="C50" i="27"/>
  <c r="C39" i="27"/>
  <c r="C55" i="27"/>
  <c r="C45" i="27"/>
  <c r="C49" i="27"/>
  <c r="C40" i="27"/>
  <c r="C56" i="27"/>
  <c r="C57" i="27"/>
  <c r="C42" i="27"/>
  <c r="C58" i="27"/>
  <c r="I31" i="21" l="1"/>
  <c r="I32" i="21"/>
  <c r="I33" i="21"/>
  <c r="I34" i="21"/>
  <c r="I50" i="21"/>
  <c r="I51" i="21"/>
  <c r="I52" i="21"/>
  <c r="I53" i="21"/>
  <c r="I17" i="21"/>
  <c r="I18" i="21"/>
  <c r="I19" i="21"/>
  <c r="I44" i="21"/>
  <c r="I46" i="21"/>
  <c r="I47" i="21"/>
  <c r="I49" i="21"/>
  <c r="I48" i="21"/>
  <c r="I45" i="21"/>
  <c r="I42" i="21"/>
  <c r="I43" i="21"/>
  <c r="I41" i="21"/>
  <c r="I40" i="21"/>
  <c r="I39" i="21"/>
  <c r="I36" i="21"/>
  <c r="I37" i="21"/>
  <c r="I38" i="21"/>
  <c r="I35" i="21"/>
  <c r="I30" i="21"/>
  <c r="I28" i="21"/>
  <c r="I29" i="21"/>
  <c r="I27" i="21"/>
  <c r="I22" i="21"/>
  <c r="I23" i="21"/>
  <c r="I24" i="21"/>
  <c r="I25" i="21"/>
  <c r="I26" i="21"/>
  <c r="I21" i="21"/>
  <c r="I20" i="21"/>
  <c r="I8" i="21"/>
  <c r="I9" i="21"/>
  <c r="I10" i="21"/>
  <c r="I11" i="21"/>
  <c r="I12" i="21"/>
  <c r="I13" i="21"/>
  <c r="O13" i="21" s="1"/>
  <c r="R13" i="21" s="1"/>
  <c r="I14" i="21"/>
  <c r="I15" i="21"/>
  <c r="I16" i="21"/>
  <c r="I7" i="21"/>
  <c r="O7" i="21" l="1"/>
  <c r="R7" i="21" s="1"/>
  <c r="O39" i="21"/>
  <c r="R39" i="21" s="1"/>
  <c r="O44" i="21"/>
  <c r="R44" i="21" s="1"/>
  <c r="O40" i="21"/>
  <c r="R40" i="21" s="1"/>
  <c r="O17" i="21"/>
  <c r="R17" i="21" s="1"/>
  <c r="O16" i="21"/>
  <c r="R16" i="21" s="1"/>
  <c r="O23" i="21"/>
  <c r="R23" i="21" s="1"/>
  <c r="O41" i="21"/>
  <c r="R41" i="21" s="1"/>
  <c r="O53" i="21"/>
  <c r="R53" i="21" s="1"/>
  <c r="O36" i="21"/>
  <c r="R36" i="21" s="1"/>
  <c r="O52" i="21"/>
  <c r="R52" i="21" s="1"/>
  <c r="O22" i="21"/>
  <c r="R22" i="21" s="1"/>
  <c r="O27" i="21"/>
  <c r="R27" i="21" s="1"/>
  <c r="O51" i="21"/>
  <c r="R51" i="21" s="1"/>
  <c r="O19" i="21"/>
  <c r="R19" i="21" s="1"/>
  <c r="O12" i="21"/>
  <c r="R12" i="21" s="1"/>
  <c r="O11" i="21"/>
  <c r="R11" i="21" s="1"/>
  <c r="O29" i="21"/>
  <c r="R29" i="21" s="1"/>
  <c r="O50" i="21"/>
  <c r="R50" i="21" s="1"/>
  <c r="O10" i="21"/>
  <c r="R10" i="21" s="1"/>
  <c r="O48" i="21"/>
  <c r="R48" i="21" s="1"/>
  <c r="O34" i="21"/>
  <c r="R34" i="21" s="1"/>
  <c r="O14" i="21"/>
  <c r="R14" i="21" s="1"/>
  <c r="O33" i="21"/>
  <c r="R33" i="21" s="1"/>
  <c r="O9" i="21"/>
  <c r="R9" i="21" s="1"/>
  <c r="O35" i="21"/>
  <c r="R35" i="21" s="1"/>
  <c r="O47" i="21"/>
  <c r="R47" i="21" s="1"/>
  <c r="O32" i="21"/>
  <c r="R32" i="21" s="1"/>
  <c r="O21" i="21"/>
  <c r="R21" i="21" s="1"/>
  <c r="O15" i="21"/>
  <c r="R15" i="21" s="1"/>
  <c r="O8" i="21"/>
  <c r="R8" i="21" s="1"/>
  <c r="O38" i="21"/>
  <c r="R38" i="21" s="1"/>
  <c r="O46" i="21"/>
  <c r="R46" i="21" s="1"/>
  <c r="O31" i="21"/>
  <c r="R31" i="21" s="1"/>
  <c r="Q21" i="21" l="1"/>
  <c r="Q14" i="21"/>
  <c r="Q11" i="21"/>
  <c r="S11" i="21" s="1"/>
  <c r="Q52" i="21"/>
  <c r="Q17" i="21"/>
  <c r="Q12" i="21"/>
  <c r="S12" i="21" s="1"/>
  <c r="Q36" i="21"/>
  <c r="Q40" i="21"/>
  <c r="Q33" i="21"/>
  <c r="Q32" i="21"/>
  <c r="Q29" i="21"/>
  <c r="Q46" i="21"/>
  <c r="Q47" i="21"/>
  <c r="Q48" i="21"/>
  <c r="Q19" i="21"/>
  <c r="Q53" i="21"/>
  <c r="Q44" i="21"/>
  <c r="Q31" i="21"/>
  <c r="Q15" i="21"/>
  <c r="Q16" i="21"/>
  <c r="Q34" i="21"/>
  <c r="Q38" i="21"/>
  <c r="Q35" i="21"/>
  <c r="Q10" i="21"/>
  <c r="S10" i="21" s="1"/>
  <c r="Q51" i="21"/>
  <c r="Q41" i="21"/>
  <c r="Q39" i="21"/>
  <c r="Q22" i="21"/>
  <c r="R56" i="21"/>
  <c r="Q8" i="21"/>
  <c r="S8" i="21" s="1"/>
  <c r="Q9" i="21"/>
  <c r="S9" i="21" s="1"/>
  <c r="Q50" i="21"/>
  <c r="Q27" i="21"/>
  <c r="Q23" i="21"/>
  <c r="Q7" i="21"/>
  <c r="S7" i="21" l="1"/>
  <c r="Q13" i="21"/>
  <c r="S13" i="21" s="1"/>
  <c r="S15" i="21"/>
  <c r="Q56" i="21" l="1"/>
  <c r="S16" i="21"/>
  <c r="S19" i="21"/>
  <c r="S14" i="21"/>
  <c r="S17" i="21"/>
  <c r="S23" i="21" l="1"/>
  <c r="S18" i="21"/>
  <c r="S20" i="21"/>
  <c r="S21" i="21" l="1"/>
  <c r="S25" i="21" s="1"/>
  <c r="S24" i="21"/>
  <c r="S27" i="21"/>
  <c r="S22" i="21" l="1"/>
  <c r="S26" i="21" s="1"/>
  <c r="S28" i="21"/>
  <c r="S31" i="21" l="1"/>
  <c r="S35" i="21" s="1"/>
  <c r="S29" i="21"/>
  <c r="S33" i="21" s="1"/>
  <c r="S32" i="21"/>
  <c r="S30" i="21" l="1"/>
  <c r="S34" i="21"/>
  <c r="S39" i="21"/>
  <c r="S36" i="21"/>
  <c r="S37" i="21"/>
  <c r="S43" i="21" l="1"/>
  <c r="S41" i="21"/>
  <c r="S38" i="21" l="1"/>
  <c r="S42" i="21" s="1"/>
  <c r="S40" i="21"/>
  <c r="S44" i="21" s="1"/>
  <c r="S47" i="21"/>
  <c r="S45" i="21"/>
  <c r="S51" i="21" l="1"/>
  <c r="S48" i="21"/>
  <c r="S49" i="21" l="1"/>
  <c r="S53" i="21" s="1"/>
  <c r="S46" i="21"/>
  <c r="S50" i="21" s="1"/>
  <c r="S52" i="21"/>
  <c r="AA32" i="21"/>
  <c r="AC32" i="21" l="1"/>
  <c r="S56" i="2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<sst xmlns="http://schemas.openxmlformats.org/spreadsheetml/2006/main" count="436" uniqueCount="272">
  <si>
    <t>Product Name and Despcription</t>
  </si>
  <si>
    <t>Qty on 
Stand</t>
  </si>
  <si>
    <t>Case 
Qty</t>
  </si>
  <si>
    <t>HardCap AeroLite - BumpCap - Black</t>
  </si>
  <si>
    <t>HardCap AeroLite - BumpCap - Blue</t>
  </si>
  <si>
    <t>Force8  - with P3 PressToCheck Filters</t>
  </si>
  <si>
    <t>EVOGoggle - Safety Goggle</t>
  </si>
  <si>
    <t>Sonis1 Headbanded Ear defender - SNR 27</t>
  </si>
  <si>
    <t>SonisC Headbanded Ear defender - SNR 32</t>
  </si>
  <si>
    <t>Sonis3 Headbanded Ear defender - SNR 37</t>
  </si>
  <si>
    <t>Sonis1 Helmet Mounted Ear defender - SNR 26</t>
  </si>
  <si>
    <t>SonisC Helmet Mounted Ear defender - SNR 31</t>
  </si>
  <si>
    <t>Sonis3 Helmet Mounted Ear defender - SNR 36</t>
  </si>
  <si>
    <t>SoundStopper Banded Ear Plug</t>
  </si>
  <si>
    <t xml:space="preserve">BushMaster Landscaping unit - Polycarb </t>
  </si>
  <si>
    <t>BushMaster Landscaping unit - Wire guaze</t>
  </si>
  <si>
    <t>EVOLite Forester Forestry unit</t>
  </si>
  <si>
    <t>Total</t>
  </si>
  <si>
    <t>AJB170-000-100</t>
  </si>
  <si>
    <t>AJF030-000-100</t>
  </si>
  <si>
    <t>AAF000-001-100</t>
  </si>
  <si>
    <t>AAF000-002-100</t>
  </si>
  <si>
    <t>AJS260-000-100</t>
  </si>
  <si>
    <t>BHT003-0L5-000</t>
  </si>
  <si>
    <t>BHT0A3-0L5-N00</t>
  </si>
  <si>
    <t>BMN990-001-700</t>
  </si>
  <si>
    <t>BMN740-000-600</t>
  </si>
  <si>
    <t>BMN750-000-600</t>
  </si>
  <si>
    <t>BPB003-004-000</t>
  </si>
  <si>
    <t>ASA790-161-300</t>
  </si>
  <si>
    <t>ASA790-161-200</t>
  </si>
  <si>
    <t>ASA790-166-400</t>
  </si>
  <si>
    <t>ASA790-162-900</t>
  </si>
  <si>
    <t>ASA920-163-000</t>
  </si>
  <si>
    <t>ASA920-161-300</t>
  </si>
  <si>
    <t>ASA920-161-200</t>
  </si>
  <si>
    <t>ASA940-061-300</t>
  </si>
  <si>
    <t>ASA940-063-000</t>
  </si>
  <si>
    <t>AGM020-623-000</t>
  </si>
  <si>
    <t>AEB010-0AY-800</t>
  </si>
  <si>
    <t>AEB040-0A1-A00</t>
  </si>
  <si>
    <t>AEB030-0AY-000</t>
  </si>
  <si>
    <t>AEB010-0CY-800</t>
  </si>
  <si>
    <t>AEB030-0CY-000</t>
  </si>
  <si>
    <t>AEB040-0C1-A00</t>
  </si>
  <si>
    <t>AEE090-070-21X</t>
  </si>
  <si>
    <t>AFZ061-131-100</t>
  </si>
  <si>
    <t>AFZ101-131-100</t>
  </si>
  <si>
    <t>AJA242-560-800</t>
  </si>
  <si>
    <t>Cost</t>
  </si>
  <si>
    <t>BGA802-206-N00</t>
  </si>
  <si>
    <t>BGA172-202-N00</t>
  </si>
  <si>
    <t>BGA182-206-N00</t>
  </si>
  <si>
    <t>SKU</t>
  </si>
  <si>
    <t>Margin</t>
  </si>
  <si>
    <t>Return</t>
  </si>
  <si>
    <t>AJA170-000-100</t>
  </si>
  <si>
    <t>AJE030-000-100</t>
  </si>
  <si>
    <t>BER122-201-L1X</t>
  </si>
  <si>
    <t>BER130-001-L1X</t>
  </si>
  <si>
    <t>EVOLite Skyworker - Working at Height Helmet</t>
  </si>
  <si>
    <t>Area</t>
  </si>
  <si>
    <t>Sticker
Reference</t>
  </si>
  <si>
    <t>Stealth8000 Safety Spectacles - Clear</t>
  </si>
  <si>
    <t>Stealth8000 Safety Spectacles - Amber</t>
  </si>
  <si>
    <t>Stealth8000 Safety Spectacles - Smoke</t>
  </si>
  <si>
    <t>Stealth8000 Safety Spectacles - In/Out</t>
  </si>
  <si>
    <t>SpringFit Disposable Mask - FFP2V</t>
  </si>
  <si>
    <t>SpringFit Disposable Mask - FFP3V</t>
  </si>
  <si>
    <t>SpringFit Disposable Mask - FFP3OV</t>
  </si>
  <si>
    <t>Flexinet Disposable Mask - FFP2V</t>
  </si>
  <si>
    <t>Flexinet Disposable Mask - FFP3V</t>
  </si>
  <si>
    <t xml:space="preserve">PressToCheck Filters - ABEK1P3 </t>
  </si>
  <si>
    <t xml:space="preserve">PressToCheck Filters - A2P3 </t>
  </si>
  <si>
    <t xml:space="preserve">PressToCheck Filters - P3 </t>
  </si>
  <si>
    <t>Stealth16g Safety Spectacles - Amber</t>
  </si>
  <si>
    <t>Stealth16g Safety Spectacles - Clear</t>
  </si>
  <si>
    <t>Stealth16g Safety Spectacles - Smoke</t>
  </si>
  <si>
    <t>Stealth CoverLite OverSpec - Clear</t>
  </si>
  <si>
    <t>Stealth CoverLite OverSpec- Smoke</t>
  </si>
  <si>
    <t>Sonis2 Headbanded Ear defender - SNR 28</t>
  </si>
  <si>
    <t>EVOLite Safety Helmet - NonVented - White</t>
  </si>
  <si>
    <t>EVOLite Safety Helmet - Vented - White</t>
  </si>
  <si>
    <t>EVO2 Safety Helmet - NonVented - White</t>
  </si>
  <si>
    <t>EVO2 Safety Helmet - Vented - White</t>
  </si>
  <si>
    <t>BHG003-2L5-000</t>
  </si>
  <si>
    <t>AEB020-0AY-900</t>
  </si>
  <si>
    <t>Force10 - FullFace Mask - Medium</t>
  </si>
  <si>
    <t>Force10 - FullFace Mask - Large</t>
  </si>
  <si>
    <t>BPB003-204-000</t>
  </si>
  <si>
    <t>RPKE-000-001</t>
  </si>
  <si>
    <t>RPKE-000-002</t>
  </si>
  <si>
    <t>RPKE-000-003</t>
  </si>
  <si>
    <t>RPKE-000-004</t>
  </si>
  <si>
    <t>RPKE-000-005</t>
  </si>
  <si>
    <t>RPKE-000-006</t>
  </si>
  <si>
    <t>RPKE-000-007</t>
  </si>
  <si>
    <t>RPKE-000-008</t>
  </si>
  <si>
    <t>RPKE-000-009</t>
  </si>
  <si>
    <t>RPKE-000-010</t>
  </si>
  <si>
    <t>RPKE-000-011</t>
  </si>
  <si>
    <t>RPKE-000-012</t>
  </si>
  <si>
    <t>RPKE-000-013</t>
  </si>
  <si>
    <t>RPKE-000-014</t>
  </si>
  <si>
    <t>RPKE-000-015</t>
  </si>
  <si>
    <t>RPKE-000-016</t>
  </si>
  <si>
    <t>RPKE-000-017</t>
  </si>
  <si>
    <t>RPKE-000-018</t>
  </si>
  <si>
    <t>RPKE-000-022</t>
  </si>
  <si>
    <t>RPKE-000-023</t>
  </si>
  <si>
    <t>RPKE-000-024</t>
  </si>
  <si>
    <t>RPKE-000-025</t>
  </si>
  <si>
    <t>RPKE-000-026</t>
  </si>
  <si>
    <t>RPKE-000-027</t>
  </si>
  <si>
    <t>RPKE-000-028</t>
  </si>
  <si>
    <t>RPKE-000-029</t>
  </si>
  <si>
    <t>RPKE-000-030</t>
  </si>
  <si>
    <t>RPKE-000-031</t>
  </si>
  <si>
    <t>RPKE-000-032</t>
  </si>
  <si>
    <t>RPKE-000-033</t>
  </si>
  <si>
    <t>RPKE-000-034</t>
  </si>
  <si>
    <t>RPKE-000-035</t>
  </si>
  <si>
    <t>RPKE-000-036</t>
  </si>
  <si>
    <t>RPKE-000-037</t>
  </si>
  <si>
    <t>RPKE-000-038</t>
  </si>
  <si>
    <t>RPKE-000-039</t>
  </si>
  <si>
    <t>RPKE-000-040</t>
  </si>
  <si>
    <t>RPKE-000-041</t>
  </si>
  <si>
    <t>RPKE-000-042</t>
  </si>
  <si>
    <t>RPKE-000-043</t>
  </si>
  <si>
    <t>RPKE-000-044</t>
  </si>
  <si>
    <t>Force8 - HalfMask without Filters - Medium</t>
  </si>
  <si>
    <t>Force8 - HalfMask without Filters - Large</t>
  </si>
  <si>
    <t>RPKE-000-045</t>
  </si>
  <si>
    <t xml:space="preserve">AMB170-005-F00 </t>
  </si>
  <si>
    <t>EVOVistaLens - Vented - White/Smoke</t>
  </si>
  <si>
    <t>RPKE-000-046</t>
  </si>
  <si>
    <t>RPKE-000-047</t>
  </si>
  <si>
    <t>RPKE-000-048</t>
  </si>
  <si>
    <t>RPKE-000-049</t>
  </si>
  <si>
    <t>ADB28A-100-400</t>
  </si>
  <si>
    <t>EVOGuard C2 Industrial Browguard System</t>
  </si>
  <si>
    <t>EVOGuard M3 Landscaping browguard system</t>
  </si>
  <si>
    <t>EVOGuard C5Max Electrical helmet</t>
  </si>
  <si>
    <t>EVOGuard M3 Forestry helmet</t>
  </si>
  <si>
    <t>AKE24A-500-800</t>
  </si>
  <si>
    <t>RPKE-000-050</t>
  </si>
  <si>
    <t>PPE Cleaning Sachets x 100</t>
  </si>
  <si>
    <t>ASU200-000-100</t>
  </si>
  <si>
    <t>Stealth LED</t>
  </si>
  <si>
    <t>RPKE-000-051</t>
  </si>
  <si>
    <t>ASA106-121-300</t>
  </si>
  <si>
    <t>BPB003-004-000-UK</t>
  </si>
  <si>
    <t>EVOVistaShield - Vented - White/Smoke</t>
  </si>
  <si>
    <t>AMD170-005-F00</t>
  </si>
  <si>
    <t>Force10 - FullFace Mask - Medium (UK)</t>
  </si>
  <si>
    <t>Potential Sales</t>
  </si>
  <si>
    <t xml:space="preserve">Cost </t>
  </si>
  <si>
    <t xml:space="preserve">Return </t>
  </si>
  <si>
    <t>Qty</t>
  </si>
  <si>
    <t>Web
Link</t>
  </si>
  <si>
    <t>Product Areas and Configuration on Stands</t>
  </si>
  <si>
    <t>Magic</t>
  </si>
  <si>
    <t>Stand Reference</t>
  </si>
  <si>
    <t xml:space="preserve">RNAZ-000-502 </t>
  </si>
  <si>
    <t>Helmet Holders</t>
  </si>
  <si>
    <t xml:space="preserve">RNAZ-000-505 </t>
  </si>
  <si>
    <t>Narrow Shelf</t>
  </si>
  <si>
    <t>RNAZ-000-500</t>
  </si>
  <si>
    <t>VVP200-000-000</t>
  </si>
  <si>
    <t>Stand</t>
  </si>
  <si>
    <t>Pegs</t>
  </si>
  <si>
    <t>Works Order Details</t>
  </si>
  <si>
    <t>Header board</t>
  </si>
  <si>
    <t>RNAZ-000-503</t>
  </si>
  <si>
    <t>RNAZ-000-504</t>
  </si>
  <si>
    <t>RNAZ-000-506</t>
  </si>
  <si>
    <t>RNAZ-000-507</t>
  </si>
  <si>
    <t>RNAZ-000-508</t>
  </si>
  <si>
    <t xml:space="preserve">RNAZ-000-501 </t>
  </si>
  <si>
    <t>Scroll down to see details for adding to works order</t>
  </si>
  <si>
    <t>Add a copy of this to works order</t>
  </si>
  <si>
    <t>Stand Elements</t>
  </si>
  <si>
    <r>
      <t>Stickers</t>
    </r>
    <r>
      <rPr>
        <sz val="9"/>
        <color theme="1"/>
        <rFont val="Calibri"/>
        <family val="2"/>
        <scheme val="minor"/>
      </rPr>
      <t xml:space="preserve"> (adapt when Product List changes)</t>
    </r>
  </si>
  <si>
    <r>
      <t xml:space="preserve">Magnets </t>
    </r>
    <r>
      <rPr>
        <sz val="9"/>
        <color theme="1"/>
        <rFont val="Calibri"/>
        <family val="2"/>
        <scheme val="minor"/>
      </rPr>
      <t>(adapt when Product List changes)</t>
    </r>
  </si>
  <si>
    <t>HH Front Reference</t>
  </si>
  <si>
    <t>RPKE-000-XX1</t>
  </si>
  <si>
    <t>RPKE-000-XX2</t>
  </si>
  <si>
    <t>RPKE-000-XX3</t>
  </si>
  <si>
    <t>RPKE-000-XX4</t>
  </si>
  <si>
    <t>AKE24C-600-100</t>
  </si>
  <si>
    <t>Product
Details</t>
  </si>
  <si>
    <t>GBP</t>
  </si>
  <si>
    <t>EUR</t>
  </si>
  <si>
    <t>USD</t>
  </si>
  <si>
    <t>Unit
Price</t>
  </si>
  <si>
    <t>Click to select Currency</t>
  </si>
  <si>
    <t>Price
Plan</t>
  </si>
  <si>
    <t>Unit
SRP</t>
  </si>
  <si>
    <t>Total
Price</t>
  </si>
  <si>
    <t>No. of
Cases</t>
  </si>
  <si>
    <t>Enter Company Name</t>
  </si>
  <si>
    <t>JSP-GO!</t>
  </si>
  <si>
    <t xml:space="preserve">2. Select Currency  </t>
  </si>
  <si>
    <t xml:space="preserve">3. Select Price Plan Margin
(contact if unsure)  </t>
  </si>
  <si>
    <t>4. Click the product names  to drop down options and bespoke your stand.</t>
  </si>
  <si>
    <t>5. Enter the number of 
stand sets you would like.</t>
  </si>
  <si>
    <t>1 STAND CONFIGURATOR</t>
  </si>
  <si>
    <t>2 STAND CONFIGURATOR</t>
  </si>
  <si>
    <t>WELCOME TO THE JSP-GO™ RETAIL STANDS CONFIGURATOR TOOL</t>
  </si>
  <si>
    <t>Select the format of stands you would like to configure. You can select from the tabs at the bottom too. 
If you would like to order both 1 stand and 2 stand setups, you can, but please explain that when you make your request.</t>
  </si>
  <si>
    <t>https://www.jspsafety.com/products/ASA790161300_Stealth-8000-Clear-Safety-Specs-Clear-Red</t>
  </si>
  <si>
    <t>https://www.jspsafety.com/products/ASA790161200_Stealth-8000-Amber-Safety-Specs-Clear-Amber</t>
  </si>
  <si>
    <t>https://www.jspsafety.com/products/AJA170000100_EVOlite-Safety-Helmet-Wheel-Ratchet-White</t>
  </si>
  <si>
    <t>https://www.jspsafety.com/products/AJB170000100_EVOlite-Safety-Helmet-Wheel-Ratchet-Vented-White</t>
  </si>
  <si>
    <t>https://www.jspsafety.com/products/AJF030000100_EVO2-Safety-Helmet-Slip-Ratchet-Vented-White</t>
  </si>
  <si>
    <t>https://www.jspsafety.com/products/AAF000002100_HardCap-aerolite-lightweight-Bump-Cap-5cm-Peak-Navy</t>
  </si>
  <si>
    <t>https://www.jspsafety.com/products/AMB170005F00_EVO-ViSTAlens-Safety-Helmet-with-integrated-Eyewear-Vented-White-Smoke</t>
  </si>
  <si>
    <t>https://www.jspsafety.com/products/AMd170005F00_EVO-ViSTAshield-Safety-Helmet-with-integrated-Faceshield-Vented-White-Smoke</t>
  </si>
  <si>
    <t>https://www.jspsafety.com/products/BGA182206N00_Springfit-435Ml-FFP3-with-Typhoon-Valve-Retail-Ready</t>
  </si>
  <si>
    <t>https://www.jspsafety.com/products/BGA802206N00_Springfit-436Ml-FFP3-with-Typhoon-Valve-Retail-Ready</t>
  </si>
  <si>
    <t>https://www.jspsafety.com/products/kw/flexinet/PPE/Respiratory-Protection/disposable-Masks/BER122201A00_Flexinet-Mask-FFP2V-(822)-M-l-Box-of-10</t>
  </si>
  <si>
    <t>https://www.jspsafety.com/products/kw/flexinet/PPE/Respiratory-Protection/disposable-Masks/BER152201A00_Flexinet-Mask-FFP2OV-(823)-M-l-Box-of-10</t>
  </si>
  <si>
    <t>https://www.jspsafety.com/products/BHT0030l5000_Force8-Half-Mask-Medium-(Mask-only)</t>
  </si>
  <si>
    <t>https://www.jspsafety.com/products/BHT0A30l5N00_Force8-Half-Mask-with-PressToCheck-P3-Filters</t>
  </si>
  <si>
    <t>https://www.jspsafety.com/products/BMN990001700_PressToCheck-P3-dust-Filters-Set-of-2</t>
  </si>
  <si>
    <t>https://www.jspsafety.com/products/BMN740000600_PressToCheck-A2-P3-Filters-Set-of-2</t>
  </si>
  <si>
    <t>https://www.jspsafety.com/products/BMN750000600_PressToCheck-ABEK1-P3-Filters-Set-of-2</t>
  </si>
  <si>
    <t>https://www.jspsafety.com/products/ASA790166400_Stealth-8000-Smoke-Safety-Specs-Black-Red</t>
  </si>
  <si>
    <t>https://www.jspsafety.com/products/ASA790162900_Stealth-8000-indoor-Outdoor-Safety-Specs-Clear-Red</t>
  </si>
  <si>
    <t>https://www.jspsafety.com/products/ASA920161300_Stealth-16g-Clear-lightweight-Safety-Specs-K-Rated</t>
  </si>
  <si>
    <t>https://www.jspsafety.com/products/ASA920161200_Stealth-16g-Amber-lightweight-Safety-Specs</t>
  </si>
  <si>
    <t>https://www.jspsafety.com/products/ASA920163000_Stealth-16g-Smoke-lightweight-Safety-Specs</t>
  </si>
  <si>
    <t>https://www.jspsafety.com/products/ASA106121300_Stealth-8000-Clear-Safety-Specs-with-lEd-Temples</t>
  </si>
  <si>
    <t>https://www.jspsafety.com/products/ASU200000100_Pre-Moistened-PPE-Wipes-Box-of-100</t>
  </si>
  <si>
    <t>https://www.jspsafety.com/products/ASA940061300_Stealth-Coverlite-Clear-lightweight-Overspecs-K-Rated</t>
  </si>
  <si>
    <t>https://www.jspsafety.com/products/ASA940063000_Stealth-Coverlite-Smoke-lightweight-Overspecs</t>
  </si>
  <si>
    <t>https://www.jspsafety.com/products/AGM020623000_EVO-Single-lens-Safety-Goggles</t>
  </si>
  <si>
    <t>https://www.jspsafety.com/products/aeB0100AY800_Sonis1-Adjustable-Ear-defenders-27dB-SNR-Grey-Green</t>
  </si>
  <si>
    <t>https://www.jspsafety.com/products/aeB0200AY900_Sonis2-Adjustable-Ear-defenders-31dB-SNR</t>
  </si>
  <si>
    <t>https://www.jspsafety.com/products/aeB0300AY000_Sonis-Compact-low-Profile-Adjustable-Ear-defenders-32dB-SNR</t>
  </si>
  <si>
    <t>https://www.jspsafety.com/products/aeB0400A1A00_Sonis3-Adjustable-Ear-defenders-37dB-SNR</t>
  </si>
  <si>
    <t>https://www.jspsafety.com/products/aeB0100CY800_Sonis1-Mounted-Ear-defenders-26dB-SNR</t>
  </si>
  <si>
    <t>https://www.jspsafety.com/products/aeB0300CY000_Sonis-Compact-low-Profile-Mounted-Ear-defenders-31dB-SNR</t>
  </si>
  <si>
    <t>https://www.jspsafety.com/products/aeB0400C1A00_Sonis-3-Mounted-Ear-defenders-36dB-SNR</t>
  </si>
  <si>
    <t>https://www.jspsafety.com/products/aeE09007021X_PU-Foam-SoundStopper-Ear-Plugs-with-Black-Band</t>
  </si>
  <si>
    <t>https://www.jspsafety.com/products/BPB003004000_Force10-Typhoon-Full-Face-Mask-Medium</t>
  </si>
  <si>
    <t>https://www.jspsafety.com/products/BPB003204000_Force10-Typhoon-Full-Face-Mask-large</t>
  </si>
  <si>
    <t>https://www.jspsafety.com/products/AFZ061131100_Bushmaster-with-20cm-Polycarb-Visor</t>
  </si>
  <si>
    <t>https://www.jspsafety.com/products/AFZ101131100_Bushmaster-with-20cm-Wire-Gauze-Visor</t>
  </si>
  <si>
    <t>https://www.jspsafety.com/products/AJA242X60800_EVOlite-Forestry-with-Sonis-Compact-Ear-defenders-Orange</t>
  </si>
  <si>
    <t>https://www.jspsafety.com/products/AKE24A500800_EVOGuard-M3-Forestry-Helmet-System</t>
  </si>
  <si>
    <t>https://www.jspsafety.com/products/AB28A100400_EVOGuard-C2-industrial-Browguard-System</t>
  </si>
  <si>
    <t>https://www.jspsafety.com/products/AKE24C600100_EVOGuardC5Max-Electrical-Helmet-System</t>
  </si>
  <si>
    <t>https://www.jspsafety.com/products/AJS260000100_EVOlite-Skyworker-industrial-Climbing-Helmet-White</t>
  </si>
  <si>
    <t>https://www.jspsafety.com/products/AJE030000100_EVO2-Safety-Helmet-Slip-Ratchet-White</t>
  </si>
  <si>
    <t>https://www.jspsafety.com/products/AAF000001100_HardCap-aerolite-lightweight-Bump-Cap-5cm-Peak-Black</t>
  </si>
  <si>
    <t>https://www.jspsafety.com/products/BGA172202N00_Springfit-425Ml-FFP2-with-Typhoon-Valve-Retail-Ready</t>
  </si>
  <si>
    <t>EVO2 Safety Helmet - Vented - Black</t>
  </si>
  <si>
    <t>AJF030-001-100</t>
  </si>
  <si>
    <t>Prices correct at 01/06/2023. Prices and MoQs are subject to change. Contact JSP for confirmation.</t>
  </si>
  <si>
    <t>https://www.jspsafety.com/products/AJF030001100_EVO2-Safety-Helmet-Slip-Ratchet-Vented-Black</t>
  </si>
  <si>
    <t>ADB28A-400-800</t>
  </si>
  <si>
    <t>BGR180-000-T00</t>
  </si>
  <si>
    <t>BGW170-000-T00</t>
  </si>
  <si>
    <t>BGV120-000-T00</t>
  </si>
  <si>
    <t>F621 Disposable Mask - FFP2 - x2</t>
  </si>
  <si>
    <t>F622 Disposable Mask - FFP2V - x 2</t>
  </si>
  <si>
    <t>F632 Disposable Mask - FFP3V - x2</t>
  </si>
  <si>
    <t>https://www.jspsafety.com/products/BGR180000T00_disposable-Vertical-Fold-Flat-Mask-FFP3V-(F632)-Box-of-20</t>
  </si>
  <si>
    <t>https://www.jspsafety.com/products/BGW170000T00_disposable-Vertical-Fold-Flat-Mask-FFP2V-(F622)-Box-of-20</t>
  </si>
  <si>
    <t>https://www.jspsafety.com/products/BGV120000T00_disposable-Vertical-Fold-Flat-Mask-FFP2-(F621)-Box-of-30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</si>
</sst>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* #,##0_);_(* \(#,##0\);_(* &quot;-&quot;_);_(@_)"/>
    <numFmt numFmtId="165" formatCode="_-[$£-809]* #,##0.00_-;\-[$£-809]* #,##0.00_-;_-[$£-809]* &quot;-&quot;??_-;_-@_-"/>
    <numFmt numFmtId="166" formatCode="_-[$€-2]\ * #,##0.00_ ;_-[$€-2]\ * \-#,##0.00\ ;_-[$€-2]\ * &quot;-&quot;??_ ;_-@_ "/>
    <numFmt numFmtId="167" formatCode="_-[$$-409]* #,##0.00_ ;_-[$$-409]* \-#,##0.00\ ;_-[$$-409]* &quot;-&quot;??_ ;_-@_ 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FF0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0"/>
      <color rgb="FFFFFF00"/>
      <name val="Calibri"/>
      <family val="2"/>
      <scheme val="minor"/>
    </font>
    <font>
      <u/>
      <sz val="11"/>
      <color rgb="FFFFFF00"/>
      <name val="Calibri"/>
      <family val="2"/>
      <scheme val="minor"/>
    </font>
    <font>
      <u/>
      <sz val="9"/>
      <color theme="4" tint="-0.2499465926084170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2"/>
      <color rgb="FFFFFF0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28"/>
      <color rgb="FFFFFF00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6666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1"/>
        <bgColor auto="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3" tint="-0.249977111117893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44" fontId="3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4" fillId="14" borderId="0" applyBorder="0" applyAlignment="0" applyProtection="0"/>
  </cellStyleXfs>
  <cellXfs count="283">
    <xf numFmtId="0" fontId="0" fillId="0" borderId="0" xfId="0"/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0" fillId="4" borderId="0" xfId="0" applyFill="1"/>
    <xf numFmtId="0" fontId="0" fillId="4" borderId="11" xfId="0" applyFill="1" applyBorder="1"/>
    <xf numFmtId="0" fontId="0" fillId="4" borderId="0" xfId="0" applyFill="1" applyAlignment="1">
      <alignment horizontal="center" vertical="center"/>
    </xf>
    <xf numFmtId="0" fontId="0" fillId="4" borderId="12" xfId="0" applyFill="1" applyBorder="1"/>
    <xf numFmtId="0" fontId="0" fillId="4" borderId="13" xfId="0" applyFill="1" applyBorder="1"/>
    <xf numFmtId="0" fontId="0" fillId="4" borderId="14" xfId="0" applyFill="1" applyBorder="1"/>
    <xf numFmtId="0" fontId="1" fillId="4" borderId="4" xfId="0" applyFont="1" applyFill="1" applyBorder="1" applyAlignment="1">
      <alignment horizontal="center" vertical="center"/>
    </xf>
    <xf numFmtId="9" fontId="0" fillId="0" borderId="4" xfId="0" applyNumberFormat="1" applyBorder="1" applyAlignment="1">
      <alignment horizontal="center" vertical="center"/>
    </xf>
    <xf numFmtId="0" fontId="0" fillId="4" borderId="10" xfId="0" applyFill="1" applyBorder="1"/>
    <xf numFmtId="0" fontId="1" fillId="0" borderId="1" xfId="0" applyFont="1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 wrapText="1"/>
    </xf>
    <xf numFmtId="0" fontId="0" fillId="4" borderId="0" xfId="0" applyFill="1" applyAlignment="1">
      <alignment horizontal="center"/>
    </xf>
    <xf numFmtId="0" fontId="0" fillId="0" borderId="0" xfId="0" applyAlignment="1">
      <alignment horizontal="center"/>
    </xf>
    <xf numFmtId="0" fontId="5" fillId="4" borderId="0" xfId="0" applyFont="1" applyFill="1"/>
    <xf numFmtId="0" fontId="5" fillId="8" borderId="4" xfId="0" applyFont="1" applyFill="1" applyBorder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2" fillId="4" borderId="1" xfId="0" applyFont="1" applyFill="1" applyBorder="1" applyAlignment="1">
      <alignment horizontal="center" wrapText="1"/>
    </xf>
    <xf numFmtId="0" fontId="2" fillId="4" borderId="4" xfId="0" applyFont="1" applyFill="1" applyBorder="1" applyAlignment="1">
      <alignment horizontal="center" wrapText="1"/>
    </xf>
    <xf numFmtId="0" fontId="2" fillId="4" borderId="15" xfId="0" applyFont="1" applyFill="1" applyBorder="1" applyAlignment="1">
      <alignment horizontal="center" wrapText="1"/>
    </xf>
    <xf numFmtId="0" fontId="2" fillId="4" borderId="4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 wrapText="1"/>
    </xf>
    <xf numFmtId="0" fontId="6" fillId="4" borderId="3" xfId="0" applyFont="1" applyFill="1" applyBorder="1" applyAlignment="1">
      <alignment horizontal="center" wrapText="1"/>
    </xf>
    <xf numFmtId="0" fontId="5" fillId="10" borderId="4" xfId="0" applyFont="1" applyFill="1" applyBorder="1" applyAlignment="1">
      <alignment horizontal="center" vertical="center"/>
    </xf>
    <xf numFmtId="0" fontId="0" fillId="11" borderId="4" xfId="0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43" fontId="0" fillId="0" borderId="4" xfId="0" applyNumberFormat="1" applyBorder="1" applyAlignment="1">
      <alignment horizontal="center" vertical="center"/>
    </xf>
    <xf numFmtId="165" fontId="1" fillId="4" borderId="3" xfId="0" applyNumberFormat="1" applyFont="1" applyFill="1" applyBorder="1" applyAlignment="1">
      <alignment horizontal="center" vertical="center" wrapText="1"/>
    </xf>
    <xf numFmtId="165" fontId="1" fillId="4" borderId="18" xfId="0" applyNumberFormat="1" applyFont="1" applyFill="1" applyBorder="1" applyAlignment="1">
      <alignment horizontal="center" vertical="center" wrapText="1"/>
    </xf>
    <xf numFmtId="166" fontId="4" fillId="4" borderId="17" xfId="1" applyNumberFormat="1" applyFont="1" applyFill="1" applyBorder="1" applyAlignment="1" applyProtection="1">
      <alignment horizontal="center" vertical="center"/>
      <protection hidden="1"/>
    </xf>
    <xf numFmtId="0" fontId="1" fillId="4" borderId="0" xfId="0" applyFont="1" applyFill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" fillId="4" borderId="4" xfId="0" applyFont="1" applyFill="1" applyBorder="1" applyAlignment="1">
      <alignment vertical="center"/>
    </xf>
    <xf numFmtId="0" fontId="10" fillId="4" borderId="4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left" vertical="center"/>
    </xf>
    <xf numFmtId="0" fontId="0" fillId="7" borderId="4" xfId="0" applyFill="1" applyBorder="1" applyAlignment="1">
      <alignment horizontal="center" vertical="center"/>
    </xf>
    <xf numFmtId="0" fontId="7" fillId="11" borderId="4" xfId="0" applyFont="1" applyFill="1" applyBorder="1" applyAlignment="1">
      <alignment horizontal="center" vertical="center"/>
    </xf>
    <xf numFmtId="0" fontId="5" fillId="12" borderId="4" xfId="0" applyFont="1" applyFill="1" applyBorder="1" applyAlignment="1">
      <alignment horizontal="center" vertical="center"/>
    </xf>
    <xf numFmtId="0" fontId="7" fillId="4" borderId="0" xfId="0" applyFont="1" applyFill="1"/>
    <xf numFmtId="0" fontId="15" fillId="0" borderId="4" xfId="2" applyBorder="1" applyAlignment="1">
      <alignment horizontal="center" vertical="center"/>
    </xf>
    <xf numFmtId="165" fontId="1" fillId="4" borderId="17" xfId="0" applyNumberFormat="1" applyFont="1" applyFill="1" applyBorder="1" applyAlignment="1">
      <alignment horizontal="center" vertical="center" wrapText="1"/>
    </xf>
    <xf numFmtId="43" fontId="0" fillId="15" borderId="4" xfId="0" applyNumberForma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0" fontId="6" fillId="2" borderId="4" xfId="0" applyFont="1" applyFill="1" applyBorder="1" applyAlignment="1" applyProtection="1">
      <alignment vertical="center" wrapText="1"/>
      <protection locked="0"/>
    </xf>
    <xf numFmtId="0" fontId="6" fillId="10" borderId="4" xfId="0" applyFont="1" applyFill="1" applyBorder="1" applyAlignment="1" applyProtection="1">
      <alignment vertical="center" wrapText="1"/>
      <protection locked="0"/>
    </xf>
    <xf numFmtId="0" fontId="2" fillId="5" borderId="4" xfId="0" applyFont="1" applyFill="1" applyBorder="1" applyAlignment="1" applyProtection="1">
      <alignment vertical="center" wrapText="1"/>
      <protection locked="0"/>
    </xf>
    <xf numFmtId="0" fontId="2" fillId="3" borderId="4" xfId="0" applyFont="1" applyFill="1" applyBorder="1" applyAlignment="1" applyProtection="1">
      <alignment vertical="center" wrapText="1"/>
      <protection locked="0"/>
    </xf>
    <xf numFmtId="0" fontId="2" fillId="6" borderId="4" xfId="0" applyFont="1" applyFill="1" applyBorder="1" applyAlignment="1" applyProtection="1">
      <alignment vertical="center" wrapText="1"/>
      <protection locked="0"/>
    </xf>
    <xf numFmtId="0" fontId="2" fillId="11" borderId="4" xfId="0" applyFont="1" applyFill="1" applyBorder="1" applyAlignment="1" applyProtection="1">
      <alignment vertical="center" wrapText="1"/>
      <protection locked="0"/>
    </xf>
    <xf numFmtId="0" fontId="6" fillId="8" borderId="4" xfId="0" applyFont="1" applyFill="1" applyBorder="1" applyAlignment="1" applyProtection="1">
      <alignment vertical="center" wrapText="1"/>
      <protection locked="0"/>
    </xf>
    <xf numFmtId="0" fontId="2" fillId="7" borderId="4" xfId="0" applyFont="1" applyFill="1" applyBorder="1" applyAlignment="1" applyProtection="1">
      <alignment vertical="center" wrapText="1"/>
      <protection locked="0"/>
    </xf>
    <xf numFmtId="0" fontId="8" fillId="11" borderId="4" xfId="0" applyFont="1" applyFill="1" applyBorder="1" applyAlignment="1" applyProtection="1">
      <alignment vertical="center" wrapText="1"/>
      <protection locked="0"/>
    </xf>
    <xf numFmtId="0" fontId="6" fillId="12" borderId="4" xfId="0" applyFont="1" applyFill="1" applyBorder="1" applyAlignment="1" applyProtection="1">
      <alignment vertical="center" wrapText="1"/>
      <protection locked="0"/>
    </xf>
    <xf numFmtId="43" fontId="2" fillId="17" borderId="4" xfId="1" applyNumberFormat="1" applyFont="1" applyFill="1" applyBorder="1" applyAlignment="1" applyProtection="1">
      <alignment horizontal="center" vertical="center"/>
      <protection hidden="1"/>
    </xf>
    <xf numFmtId="43" fontId="2" fillId="16" borderId="4" xfId="0" applyNumberFormat="1" applyFont="1" applyFill="1" applyBorder="1"/>
    <xf numFmtId="43" fontId="2" fillId="19" borderId="4" xfId="1" applyNumberFormat="1" applyFont="1" applyFill="1" applyBorder="1" applyAlignment="1" applyProtection="1">
      <alignment horizontal="center" vertical="center"/>
      <protection hidden="1"/>
    </xf>
    <xf numFmtId="43" fontId="2" fillId="20" borderId="4" xfId="0" applyNumberFormat="1" applyFont="1" applyFill="1" applyBorder="1"/>
    <xf numFmtId="43" fontId="2" fillId="21" borderId="4" xfId="1" applyNumberFormat="1" applyFont="1" applyFill="1" applyBorder="1" applyAlignment="1" applyProtection="1">
      <alignment horizontal="center" vertical="center"/>
      <protection hidden="1"/>
    </xf>
    <xf numFmtId="43" fontId="2" fillId="22" borderId="4" xfId="1" applyNumberFormat="1" applyFont="1" applyFill="1" applyBorder="1" applyAlignment="1" applyProtection="1">
      <alignment horizontal="center" vertical="center"/>
      <protection hidden="1"/>
    </xf>
    <xf numFmtId="43" fontId="2" fillId="23" borderId="4" xfId="0" applyNumberFormat="1" applyFont="1" applyFill="1" applyBorder="1"/>
    <xf numFmtId="43" fontId="2" fillId="6" borderId="4" xfId="1" applyNumberFormat="1" applyFont="1" applyFill="1" applyBorder="1" applyAlignment="1" applyProtection="1">
      <alignment horizontal="center" vertical="center"/>
      <protection hidden="1"/>
    </xf>
    <xf numFmtId="43" fontId="2" fillId="24" borderId="4" xfId="0" applyNumberFormat="1" applyFont="1" applyFill="1" applyBorder="1"/>
    <xf numFmtId="43" fontId="2" fillId="25" borderId="4" xfId="0" applyNumberFormat="1" applyFont="1" applyFill="1" applyBorder="1"/>
    <xf numFmtId="0" fontId="2" fillId="6" borderId="1" xfId="0" applyFont="1" applyFill="1" applyBorder="1" applyAlignment="1">
      <alignment vertical="center" wrapText="1"/>
    </xf>
    <xf numFmtId="0" fontId="2" fillId="7" borderId="1" xfId="0" applyFont="1" applyFill="1" applyBorder="1" applyAlignment="1">
      <alignment vertical="center" wrapText="1"/>
    </xf>
    <xf numFmtId="0" fontId="8" fillId="11" borderId="4" xfId="0" applyFont="1" applyFill="1" applyBorder="1" applyAlignment="1">
      <alignment vertical="center"/>
    </xf>
    <xf numFmtId="0" fontId="8" fillId="11" borderId="4" xfId="0" applyFont="1" applyFill="1" applyBorder="1" applyAlignment="1">
      <alignment vertical="center" wrapText="1"/>
    </xf>
    <xf numFmtId="0" fontId="8" fillId="11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vertical="center" wrapText="1"/>
    </xf>
    <xf numFmtId="0" fontId="2" fillId="13" borderId="1" xfId="0" applyFont="1" applyFill="1" applyBorder="1" applyAlignment="1">
      <alignment vertical="center" wrapText="1"/>
    </xf>
    <xf numFmtId="0" fontId="6" fillId="10" borderId="1" xfId="0" applyFont="1" applyFill="1" applyBorder="1" applyAlignment="1">
      <alignment vertical="center" wrapText="1"/>
    </xf>
    <xf numFmtId="0" fontId="6" fillId="10" borderId="4" xfId="0" applyFont="1" applyFill="1" applyBorder="1" applyAlignment="1">
      <alignment vertical="center" wrapText="1"/>
    </xf>
    <xf numFmtId="0" fontId="2" fillId="5" borderId="1" xfId="0" applyFont="1" applyFill="1" applyBorder="1" applyAlignment="1">
      <alignment vertical="center" wrapText="1"/>
    </xf>
    <xf numFmtId="0" fontId="6" fillId="8" borderId="4" xfId="0" applyFont="1" applyFill="1" applyBorder="1" applyAlignment="1">
      <alignment vertical="center" wrapText="1"/>
    </xf>
    <xf numFmtId="0" fontId="6" fillId="8" borderId="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vertical="center" wrapText="1"/>
    </xf>
    <xf numFmtId="0" fontId="2" fillId="3" borderId="4" xfId="0" applyFont="1" applyFill="1" applyBorder="1" applyAlignment="1">
      <alignment vertical="center" wrapText="1"/>
    </xf>
    <xf numFmtId="0" fontId="8" fillId="3" borderId="4" xfId="0" applyFont="1" applyFill="1" applyBorder="1" applyAlignment="1">
      <alignment vertical="center" wrapText="1"/>
    </xf>
    <xf numFmtId="0" fontId="2" fillId="3" borderId="4" xfId="0" applyFont="1" applyFill="1" applyBorder="1" applyAlignment="1">
      <alignment vertical="center"/>
    </xf>
    <xf numFmtId="0" fontId="5" fillId="2" borderId="26" xfId="0" applyFont="1" applyFill="1" applyBorder="1" applyAlignment="1">
      <alignment horizontal="center" vertical="center"/>
    </xf>
    <xf numFmtId="0" fontId="0" fillId="14" borderId="7" xfId="0" applyFill="1" applyBorder="1"/>
    <xf numFmtId="0" fontId="0" fillId="14" borderId="8" xfId="0" applyFill="1" applyBorder="1"/>
    <xf numFmtId="0" fontId="0" fillId="14" borderId="12" xfId="0" applyFill="1" applyBorder="1"/>
    <xf numFmtId="0" fontId="0" fillId="14" borderId="13" xfId="0" applyFill="1" applyBorder="1"/>
    <xf numFmtId="0" fontId="0" fillId="14" borderId="14" xfId="0" applyFill="1" applyBorder="1"/>
    <xf numFmtId="0" fontId="0" fillId="14" borderId="34" xfId="0" applyFill="1" applyBorder="1"/>
    <xf numFmtId="0" fontId="0" fillId="14" borderId="35" xfId="0" applyFill="1" applyBorder="1" applyAlignment="1">
      <alignment vertical="center"/>
    </xf>
    <xf numFmtId="0" fontId="0" fillId="14" borderId="36" xfId="0" applyFill="1" applyBorder="1"/>
    <xf numFmtId="0" fontId="0" fillId="14" borderId="0" xfId="0" applyFill="1" applyAlignment="1">
      <alignment vertical="center"/>
    </xf>
    <xf numFmtId="0" fontId="6" fillId="2" borderId="26" xfId="0" applyFont="1" applyFill="1" applyBorder="1" applyAlignment="1" applyProtection="1">
      <alignment vertical="center" wrapText="1"/>
      <protection locked="0"/>
    </xf>
    <xf numFmtId="43" fontId="2" fillId="16" borderId="26" xfId="0" applyNumberFormat="1" applyFont="1" applyFill="1" applyBorder="1"/>
    <xf numFmtId="43" fontId="2" fillId="17" borderId="26" xfId="1" applyNumberFormat="1" applyFont="1" applyFill="1" applyBorder="1" applyAlignment="1" applyProtection="1">
      <alignment horizontal="center" vertical="center"/>
      <protection hidden="1"/>
    </xf>
    <xf numFmtId="0" fontId="2" fillId="0" borderId="26" xfId="0" applyFont="1" applyBorder="1" applyAlignment="1">
      <alignment horizontal="center" vertical="center"/>
    </xf>
    <xf numFmtId="43" fontId="2" fillId="17" borderId="26" xfId="0" applyNumberFormat="1" applyFont="1" applyFill="1" applyBorder="1" applyAlignment="1">
      <alignment horizontal="center" vertical="center"/>
    </xf>
    <xf numFmtId="0" fontId="0" fillId="14" borderId="8" xfId="0" applyFill="1" applyBorder="1" applyAlignment="1">
      <alignment horizontal="center"/>
    </xf>
    <xf numFmtId="0" fontId="0" fillId="14" borderId="13" xfId="0" applyFill="1" applyBorder="1" applyAlignment="1">
      <alignment horizontal="center"/>
    </xf>
    <xf numFmtId="0" fontId="0" fillId="14" borderId="22" xfId="0" applyFill="1" applyBorder="1" applyAlignment="1">
      <alignment vertical="center"/>
    </xf>
    <xf numFmtId="0" fontId="17" fillId="14" borderId="39" xfId="0" applyFont="1" applyFill="1" applyBorder="1" applyAlignment="1">
      <alignment horizontal="center" vertical="center" wrapText="1"/>
    </xf>
    <xf numFmtId="0" fontId="11" fillId="14" borderId="8" xfId="0" applyFont="1" applyFill="1" applyBorder="1" applyAlignment="1">
      <alignment horizontal="center" vertical="center"/>
    </xf>
    <xf numFmtId="9" fontId="2" fillId="16" borderId="24" xfId="0" applyNumberFormat="1" applyFont="1" applyFill="1" applyBorder="1" applyAlignment="1">
      <alignment horizontal="center" vertical="center"/>
    </xf>
    <xf numFmtId="9" fontId="2" fillId="16" borderId="44" xfId="0" applyNumberFormat="1" applyFont="1" applyFill="1" applyBorder="1" applyAlignment="1">
      <alignment horizontal="center" vertical="center"/>
    </xf>
    <xf numFmtId="9" fontId="2" fillId="20" borderId="44" xfId="0" applyNumberFormat="1" applyFont="1" applyFill="1" applyBorder="1" applyAlignment="1">
      <alignment horizontal="center" vertical="center"/>
    </xf>
    <xf numFmtId="9" fontId="2" fillId="20" borderId="25" xfId="0" applyNumberFormat="1" applyFont="1" applyFill="1" applyBorder="1" applyAlignment="1">
      <alignment horizontal="center" vertical="center"/>
    </xf>
    <xf numFmtId="9" fontId="2" fillId="23" borderId="44" xfId="0" applyNumberFormat="1" applyFont="1" applyFill="1" applyBorder="1" applyAlignment="1">
      <alignment horizontal="center" vertical="center"/>
    </xf>
    <xf numFmtId="9" fontId="2" fillId="24" borderId="44" xfId="0" applyNumberFormat="1" applyFont="1" applyFill="1" applyBorder="1" applyAlignment="1">
      <alignment horizontal="center" vertical="center"/>
    </xf>
    <xf numFmtId="9" fontId="2" fillId="25" borderId="44" xfId="0" applyNumberFormat="1" applyFont="1" applyFill="1" applyBorder="1" applyAlignment="1">
      <alignment horizontal="center" vertical="center"/>
    </xf>
    <xf numFmtId="0" fontId="5" fillId="8" borderId="47" xfId="0" applyFont="1" applyFill="1" applyBorder="1" applyAlignment="1">
      <alignment horizontal="center" vertical="center"/>
    </xf>
    <xf numFmtId="0" fontId="6" fillId="8" borderId="47" xfId="0" applyFont="1" applyFill="1" applyBorder="1" applyAlignment="1" applyProtection="1">
      <alignment vertical="center" wrapText="1"/>
      <protection locked="0"/>
    </xf>
    <xf numFmtId="0" fontId="0" fillId="4" borderId="13" xfId="0" applyFill="1" applyBorder="1" applyAlignment="1">
      <alignment horizontal="center"/>
    </xf>
    <xf numFmtId="0" fontId="0" fillId="4" borderId="13" xfId="0" applyFill="1" applyBorder="1" applyAlignment="1">
      <alignment horizontal="center" vertical="center"/>
    </xf>
    <xf numFmtId="43" fontId="2" fillId="25" borderId="47" xfId="0" applyNumberFormat="1" applyFont="1" applyFill="1" applyBorder="1"/>
    <xf numFmtId="43" fontId="2" fillId="21" borderId="47" xfId="1" applyNumberFormat="1" applyFont="1" applyFill="1" applyBorder="1" applyAlignment="1" applyProtection="1">
      <alignment horizontal="center" vertical="center"/>
      <protection hidden="1"/>
    </xf>
    <xf numFmtId="0" fontId="2" fillId="0" borderId="47" xfId="0" applyFont="1" applyBorder="1" applyAlignment="1">
      <alignment horizontal="center" vertical="center"/>
    </xf>
    <xf numFmtId="9" fontId="2" fillId="25" borderId="48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26" borderId="39" xfId="0" applyFill="1" applyBorder="1" applyAlignment="1">
      <alignment horizontal="right" vertical="center"/>
    </xf>
    <xf numFmtId="0" fontId="23" fillId="5" borderId="39" xfId="0" applyFont="1" applyFill="1" applyBorder="1" applyAlignment="1" applyProtection="1">
      <alignment horizontal="center" vertical="center"/>
      <protection locked="0"/>
    </xf>
    <xf numFmtId="9" fontId="23" fillId="5" borderId="42" xfId="0" applyNumberFormat="1" applyFont="1" applyFill="1" applyBorder="1" applyAlignment="1" applyProtection="1">
      <alignment horizontal="center" vertical="center"/>
      <protection locked="0"/>
    </xf>
    <xf numFmtId="0" fontId="13" fillId="28" borderId="21" xfId="0" applyFont="1" applyFill="1" applyBorder="1" applyAlignment="1">
      <alignment horizontal="center" vertical="center"/>
    </xf>
    <xf numFmtId="0" fontId="13" fillId="28" borderId="23" xfId="0" applyFont="1" applyFill="1" applyBorder="1" applyAlignment="1">
      <alignment horizontal="center" vertical="center"/>
    </xf>
    <xf numFmtId="0" fontId="0" fillId="28" borderId="23" xfId="0" applyFill="1" applyBorder="1" applyAlignment="1">
      <alignment horizontal="center" vertical="center" wrapText="1"/>
    </xf>
    <xf numFmtId="0" fontId="0" fillId="28" borderId="23" xfId="0" applyFill="1" applyBorder="1" applyAlignment="1">
      <alignment horizontal="center" vertical="center"/>
    </xf>
    <xf numFmtId="0" fontId="12" fillId="14" borderId="16" xfId="0" applyFont="1" applyFill="1" applyBorder="1"/>
    <xf numFmtId="0" fontId="12" fillId="14" borderId="46" xfId="0" applyFont="1" applyFill="1" applyBorder="1"/>
    <xf numFmtId="0" fontId="17" fillId="14" borderId="23" xfId="0" applyFont="1" applyFill="1" applyBorder="1" applyAlignment="1">
      <alignment horizontal="center" vertical="center" wrapText="1"/>
    </xf>
    <xf numFmtId="0" fontId="0" fillId="9" borderId="23" xfId="0" applyFill="1" applyBorder="1" applyAlignment="1">
      <alignment horizontal="center" vertical="center"/>
    </xf>
    <xf numFmtId="0" fontId="25" fillId="14" borderId="39" xfId="0" applyFont="1" applyFill="1" applyBorder="1" applyAlignment="1">
      <alignment horizontal="center" vertical="center"/>
    </xf>
    <xf numFmtId="0" fontId="19" fillId="17" borderId="43" xfId="0" applyFont="1" applyFill="1" applyBorder="1" applyAlignment="1">
      <alignment horizontal="center"/>
    </xf>
    <xf numFmtId="0" fontId="19" fillId="17" borderId="18" xfId="0" applyFont="1" applyFill="1" applyBorder="1" applyAlignment="1">
      <alignment horizontal="center"/>
    </xf>
    <xf numFmtId="0" fontId="19" fillId="19" borderId="18" xfId="0" applyFont="1" applyFill="1" applyBorder="1" applyAlignment="1">
      <alignment horizontal="center"/>
    </xf>
    <xf numFmtId="0" fontId="13" fillId="28" borderId="8" xfId="0" applyFont="1" applyFill="1" applyBorder="1" applyAlignment="1">
      <alignment horizontal="center" vertical="center"/>
    </xf>
    <xf numFmtId="0" fontId="15" fillId="16" borderId="4" xfId="2" applyFill="1" applyBorder="1" applyAlignment="1" applyProtection="1">
      <alignment horizontal="center" vertical="center"/>
      <protection locked="0"/>
    </xf>
    <xf numFmtId="0" fontId="15" fillId="16" borderId="4" xfId="2" applyFill="1" applyBorder="1" applyAlignment="1" applyProtection="1">
      <alignment horizontal="center"/>
      <protection locked="0"/>
    </xf>
    <xf numFmtId="0" fontId="15" fillId="20" borderId="4" xfId="2" applyFill="1" applyBorder="1" applyAlignment="1" applyProtection="1">
      <alignment horizontal="center"/>
      <protection locked="0"/>
    </xf>
    <xf numFmtId="0" fontId="19" fillId="22" borderId="18" xfId="0" applyFont="1" applyFill="1" applyBorder="1" applyAlignment="1">
      <alignment horizontal="center"/>
    </xf>
    <xf numFmtId="0" fontId="15" fillId="23" borderId="4" xfId="2" applyFill="1" applyBorder="1" applyAlignment="1" applyProtection="1">
      <alignment horizontal="center"/>
      <protection locked="0"/>
    </xf>
    <xf numFmtId="0" fontId="19" fillId="6" borderId="18" xfId="0" applyFont="1" applyFill="1" applyBorder="1" applyAlignment="1">
      <alignment horizontal="center"/>
    </xf>
    <xf numFmtId="0" fontId="15" fillId="24" borderId="4" xfId="2" applyFill="1" applyBorder="1" applyAlignment="1" applyProtection="1">
      <alignment horizontal="center"/>
      <protection locked="0"/>
    </xf>
    <xf numFmtId="0" fontId="15" fillId="25" borderId="4" xfId="2" applyFill="1" applyBorder="1" applyAlignment="1" applyProtection="1">
      <alignment horizontal="center"/>
      <protection locked="0"/>
    </xf>
    <xf numFmtId="0" fontId="19" fillId="21" borderId="18" xfId="0" applyFont="1" applyFill="1" applyBorder="1" applyAlignment="1">
      <alignment horizontal="center"/>
    </xf>
    <xf numFmtId="0" fontId="19" fillId="21" borderId="45" xfId="0" applyFont="1" applyFill="1" applyBorder="1" applyAlignment="1">
      <alignment horizontal="center"/>
    </xf>
    <xf numFmtId="0" fontId="2" fillId="16" borderId="50" xfId="0" applyFont="1" applyFill="1" applyBorder="1" applyAlignment="1">
      <alignment horizontal="center" vertical="center"/>
    </xf>
    <xf numFmtId="0" fontId="2" fillId="16" borderId="1" xfId="0" applyFont="1" applyFill="1" applyBorder="1" applyAlignment="1">
      <alignment horizontal="center" vertical="center"/>
    </xf>
    <xf numFmtId="0" fontId="2" fillId="20" borderId="1" xfId="0" applyFont="1" applyFill="1" applyBorder="1" applyAlignment="1">
      <alignment horizontal="center" vertical="center"/>
    </xf>
    <xf numFmtId="0" fontId="2" fillId="23" borderId="1" xfId="0" applyFont="1" applyFill="1" applyBorder="1" applyAlignment="1">
      <alignment horizontal="center" vertical="center"/>
    </xf>
    <xf numFmtId="0" fontId="2" fillId="24" borderId="1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51" xfId="0" applyFont="1" applyFill="1" applyBorder="1" applyAlignment="1">
      <alignment horizontal="center" vertical="center"/>
    </xf>
    <xf numFmtId="164" fontId="2" fillId="17" borderId="3" xfId="0" applyNumberFormat="1" applyFont="1" applyFill="1" applyBorder="1" applyAlignment="1">
      <alignment horizontal="center" vertical="center"/>
    </xf>
    <xf numFmtId="164" fontId="2" fillId="19" borderId="3" xfId="0" applyNumberFormat="1" applyFont="1" applyFill="1" applyBorder="1" applyAlignment="1">
      <alignment horizontal="center" vertical="center"/>
    </xf>
    <xf numFmtId="164" fontId="2" fillId="22" borderId="3" xfId="0" applyNumberFormat="1" applyFont="1" applyFill="1" applyBorder="1" applyAlignment="1">
      <alignment horizontal="center" vertical="center"/>
    </xf>
    <xf numFmtId="164" fontId="2" fillId="6" borderId="3" xfId="0" applyNumberFormat="1" applyFont="1" applyFill="1" applyBorder="1" applyAlignment="1">
      <alignment horizontal="center" vertical="center"/>
    </xf>
    <xf numFmtId="164" fontId="2" fillId="21" borderId="3" xfId="0" applyNumberFormat="1" applyFont="1" applyFill="1" applyBorder="1" applyAlignment="1">
      <alignment horizontal="center" vertical="center"/>
    </xf>
    <xf numFmtId="164" fontId="2" fillId="21" borderId="52" xfId="0" applyNumberFormat="1" applyFont="1" applyFill="1" applyBorder="1" applyAlignment="1">
      <alignment horizontal="center" vertical="center"/>
    </xf>
    <xf numFmtId="43" fontId="2" fillId="16" borderId="27" xfId="0" applyNumberFormat="1" applyFont="1" applyFill="1" applyBorder="1" applyAlignment="1">
      <alignment horizontal="center" vertical="center"/>
    </xf>
    <xf numFmtId="43" fontId="2" fillId="16" borderId="3" xfId="0" applyNumberFormat="1" applyFont="1" applyFill="1" applyBorder="1" applyAlignment="1">
      <alignment horizontal="center" vertical="center"/>
    </xf>
    <xf numFmtId="43" fontId="2" fillId="20" borderId="3" xfId="0" applyNumberFormat="1" applyFont="1" applyFill="1" applyBorder="1" applyAlignment="1">
      <alignment horizontal="center" vertical="center"/>
    </xf>
    <xf numFmtId="43" fontId="2" fillId="23" borderId="3" xfId="0" applyNumberFormat="1" applyFont="1" applyFill="1" applyBorder="1" applyAlignment="1">
      <alignment horizontal="center" vertical="center"/>
    </xf>
    <xf numFmtId="43" fontId="2" fillId="24" borderId="3" xfId="0" applyNumberFormat="1" applyFont="1" applyFill="1" applyBorder="1" applyAlignment="1">
      <alignment horizontal="center" vertical="center"/>
    </xf>
    <xf numFmtId="43" fontId="2" fillId="25" borderId="3" xfId="0" applyNumberFormat="1" applyFont="1" applyFill="1" applyBorder="1" applyAlignment="1">
      <alignment horizontal="center" vertical="center"/>
    </xf>
    <xf numFmtId="43" fontId="2" fillId="25" borderId="52" xfId="0" applyNumberFormat="1" applyFont="1" applyFill="1" applyBorder="1" applyAlignment="1">
      <alignment horizontal="center" vertical="center"/>
    </xf>
    <xf numFmtId="164" fontId="2" fillId="17" borderId="1" xfId="0" applyNumberFormat="1" applyFont="1" applyFill="1" applyBorder="1" applyAlignment="1">
      <alignment horizontal="center" vertical="center"/>
    </xf>
    <xf numFmtId="164" fontId="2" fillId="19" borderId="1" xfId="0" applyNumberFormat="1" applyFont="1" applyFill="1" applyBorder="1" applyAlignment="1">
      <alignment horizontal="center" vertical="center"/>
    </xf>
    <xf numFmtId="164" fontId="2" fillId="22" borderId="1" xfId="0" applyNumberFormat="1" applyFont="1" applyFill="1" applyBorder="1" applyAlignment="1">
      <alignment horizontal="center" vertical="center"/>
    </xf>
    <xf numFmtId="164" fontId="2" fillId="6" borderId="1" xfId="0" applyNumberFormat="1" applyFont="1" applyFill="1" applyBorder="1" applyAlignment="1">
      <alignment horizontal="center" vertical="center"/>
    </xf>
    <xf numFmtId="164" fontId="2" fillId="21" borderId="1" xfId="0" applyNumberFormat="1" applyFont="1" applyFill="1" applyBorder="1" applyAlignment="1">
      <alignment horizontal="center" vertical="center"/>
    </xf>
    <xf numFmtId="0" fontId="1" fillId="18" borderId="54" xfId="0" applyFont="1" applyFill="1" applyBorder="1" applyAlignment="1">
      <alignment horizontal="center" vertical="center" wrapText="1"/>
    </xf>
    <xf numFmtId="0" fontId="17" fillId="14" borderId="54" xfId="0" applyFont="1" applyFill="1" applyBorder="1" applyAlignment="1">
      <alignment horizontal="center" vertical="center" wrapText="1"/>
    </xf>
    <xf numFmtId="0" fontId="1" fillId="4" borderId="54" xfId="0" applyFont="1" applyFill="1" applyBorder="1" applyAlignment="1">
      <alignment horizontal="center" vertical="center"/>
    </xf>
    <xf numFmtId="0" fontId="1" fillId="15" borderId="8" xfId="0" applyFont="1" applyFill="1" applyBorder="1" applyAlignment="1">
      <alignment horizontal="center" vertical="center"/>
    </xf>
    <xf numFmtId="0" fontId="1" fillId="15" borderId="54" xfId="0" applyFont="1" applyFill="1" applyBorder="1" applyAlignment="1">
      <alignment horizontal="center" vertical="center" wrapText="1"/>
    </xf>
    <xf numFmtId="0" fontId="15" fillId="25" borderId="47" xfId="2" applyFill="1" applyBorder="1" applyAlignment="1" applyProtection="1">
      <alignment horizontal="center"/>
      <protection locked="0"/>
    </xf>
    <xf numFmtId="164" fontId="2" fillId="21" borderId="51" xfId="0" applyNumberFormat="1" applyFont="1" applyFill="1" applyBorder="1" applyAlignment="1">
      <alignment horizontal="center" vertical="center"/>
    </xf>
    <xf numFmtId="0" fontId="1" fillId="15" borderId="53" xfId="0" applyFont="1" applyFill="1" applyBorder="1" applyAlignment="1">
      <alignment horizontal="center" vertical="center"/>
    </xf>
    <xf numFmtId="0" fontId="1" fillId="15" borderId="56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vertical="center"/>
    </xf>
    <xf numFmtId="0" fontId="2" fillId="0" borderId="4" xfId="0" applyFont="1" applyBorder="1" applyAlignment="1">
      <alignment vertical="center"/>
    </xf>
    <xf numFmtId="0" fontId="6" fillId="4" borderId="0" xfId="0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 wrapText="1"/>
    </xf>
    <xf numFmtId="0" fontId="8" fillId="14" borderId="16" xfId="0" applyFont="1" applyFill="1" applyBorder="1" applyAlignment="1">
      <alignment horizontal="center" vertical="center" wrapText="1"/>
    </xf>
    <xf numFmtId="0" fontId="8" fillId="14" borderId="4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5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167" fontId="0" fillId="0" borderId="0" xfId="0" applyNumberFormat="1" applyAlignment="1">
      <alignment vertical="center"/>
    </xf>
    <xf numFmtId="165" fontId="0" fillId="4" borderId="0" xfId="0" applyNumberFormat="1" applyFill="1" applyAlignment="1">
      <alignment vertical="center"/>
    </xf>
    <xf numFmtId="166" fontId="0" fillId="4" borderId="0" xfId="0" applyNumberFormat="1" applyFill="1" applyAlignment="1">
      <alignment vertical="center"/>
    </xf>
    <xf numFmtId="167" fontId="0" fillId="4" borderId="0" xfId="0" applyNumberFormat="1" applyFill="1" applyAlignment="1">
      <alignment vertical="center"/>
    </xf>
    <xf numFmtId="0" fontId="0" fillId="4" borderId="0" xfId="0" applyFill="1" applyAlignment="1">
      <alignment vertical="center" wrapText="1"/>
    </xf>
    <xf numFmtId="167" fontId="0" fillId="4" borderId="0" xfId="0" applyNumberFormat="1" applyFill="1" applyAlignment="1" applyProtection="1">
      <alignment vertical="center"/>
      <protection locked="0"/>
    </xf>
    <xf numFmtId="0" fontId="15" fillId="4" borderId="4" xfId="2" applyFill="1" applyBorder="1" applyAlignment="1">
      <alignment horizontal="center" vertical="center"/>
    </xf>
    <xf numFmtId="0" fontId="0" fillId="4" borderId="16" xfId="0" applyFill="1" applyBorder="1" applyAlignment="1">
      <alignment vertical="center"/>
    </xf>
    <xf numFmtId="0" fontId="0" fillId="4" borderId="25" xfId="0" applyFill="1" applyBorder="1" applyAlignment="1">
      <alignment vertical="center"/>
    </xf>
    <xf numFmtId="165" fontId="0" fillId="4" borderId="19" xfId="0" applyNumberFormat="1" applyFill="1" applyBorder="1" applyAlignment="1">
      <alignment horizontal="center" vertical="center"/>
    </xf>
    <xf numFmtId="167" fontId="0" fillId="0" borderId="20" xfId="0" applyNumberFormat="1" applyBorder="1" applyAlignment="1">
      <alignment vertical="center"/>
    </xf>
    <xf numFmtId="9" fontId="0" fillId="4" borderId="4" xfId="0" applyNumberFormat="1" applyFill="1" applyBorder="1" applyAlignment="1">
      <alignment horizontal="center" vertical="center"/>
    </xf>
    <xf numFmtId="0" fontId="15" fillId="4" borderId="5" xfId="2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24" xfId="0" applyFill="1" applyBorder="1" applyAlignment="1">
      <alignment vertical="center"/>
    </xf>
    <xf numFmtId="43" fontId="2" fillId="19" borderId="26" xfId="0" applyNumberFormat="1" applyFont="1" applyFill="1" applyBorder="1" applyAlignment="1">
      <alignment horizontal="center" vertical="center"/>
    </xf>
    <xf numFmtId="43" fontId="2" fillId="6" borderId="26" xfId="0" applyNumberFormat="1" applyFont="1" applyFill="1" applyBorder="1" applyAlignment="1">
      <alignment horizontal="center" vertical="center"/>
    </xf>
    <xf numFmtId="43" fontId="2" fillId="22" borderId="26" xfId="0" applyNumberFormat="1" applyFont="1" applyFill="1" applyBorder="1" applyAlignment="1">
      <alignment horizontal="center" vertical="center"/>
    </xf>
    <xf numFmtId="43" fontId="2" fillId="21" borderId="26" xfId="0" applyNumberFormat="1" applyFont="1" applyFill="1" applyBorder="1" applyAlignment="1">
      <alignment horizontal="center" vertical="center"/>
    </xf>
    <xf numFmtId="43" fontId="2" fillId="21" borderId="46" xfId="0" applyNumberFormat="1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/>
    </xf>
    <xf numFmtId="0" fontId="29" fillId="4" borderId="0" xfId="0" applyFont="1" applyFill="1" applyAlignment="1">
      <alignment horizontal="center" vertical="center"/>
    </xf>
    <xf numFmtId="9" fontId="2" fillId="24" borderId="25" xfId="0" applyNumberFormat="1" applyFont="1" applyFill="1" applyBorder="1" applyAlignment="1">
      <alignment horizontal="center" vertical="center"/>
    </xf>
    <xf numFmtId="0" fontId="30" fillId="4" borderId="0" xfId="0" applyFont="1" applyFill="1" applyAlignment="1">
      <alignment horizontal="center" vertical="center"/>
    </xf>
    <xf numFmtId="0" fontId="32" fillId="2" borderId="7" xfId="2" applyFont="1" applyFill="1" applyBorder="1" applyAlignment="1" applyProtection="1">
      <alignment horizontal="center" vertical="center"/>
      <protection locked="0"/>
    </xf>
    <xf numFmtId="0" fontId="32" fillId="2" borderId="8" xfId="2" applyFont="1" applyFill="1" applyBorder="1" applyAlignment="1" applyProtection="1">
      <alignment horizontal="center" vertical="center"/>
      <protection locked="0"/>
    </xf>
    <xf numFmtId="0" fontId="32" fillId="2" borderId="9" xfId="2" applyFont="1" applyFill="1" applyBorder="1" applyAlignment="1" applyProtection="1">
      <alignment horizontal="center" vertical="center"/>
      <protection locked="0"/>
    </xf>
    <xf numFmtId="0" fontId="32" fillId="2" borderId="12" xfId="2" applyFont="1" applyFill="1" applyBorder="1" applyAlignment="1" applyProtection="1">
      <alignment horizontal="center" vertical="center"/>
      <protection locked="0"/>
    </xf>
    <xf numFmtId="0" fontId="32" fillId="2" borderId="13" xfId="2" applyFont="1" applyFill="1" applyBorder="1" applyAlignment="1" applyProtection="1">
      <alignment horizontal="center" vertical="center"/>
      <protection locked="0"/>
    </xf>
    <xf numFmtId="0" fontId="32" fillId="2" borderId="14" xfId="2" applyFont="1" applyFill="1" applyBorder="1" applyAlignment="1" applyProtection="1">
      <alignment horizontal="center" vertical="center"/>
      <protection locked="0"/>
    </xf>
    <xf numFmtId="0" fontId="31" fillId="29" borderId="0" xfId="0" applyFont="1" applyFill="1" applyAlignment="1">
      <alignment horizontal="center" vertical="center" wrapText="1"/>
    </xf>
    <xf numFmtId="0" fontId="0" fillId="29" borderId="0" xfId="0" applyFill="1" applyAlignment="1">
      <alignment horizontal="center" vertical="center"/>
    </xf>
    <xf numFmtId="0" fontId="33" fillId="29" borderId="0" xfId="0" applyFont="1" applyFill="1" applyAlignment="1">
      <alignment horizontal="center" vertical="center"/>
    </xf>
    <xf numFmtId="0" fontId="1" fillId="4" borderId="8" xfId="0" applyFont="1" applyFill="1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1" fillId="18" borderId="37" xfId="0" applyFont="1" applyFill="1" applyBorder="1" applyAlignment="1">
      <alignment horizontal="center" vertical="center" wrapText="1"/>
    </xf>
    <xf numFmtId="0" fontId="0" fillId="18" borderId="38" xfId="0" applyFill="1" applyBorder="1" applyAlignment="1">
      <alignment horizontal="center" vertical="center" wrapText="1"/>
    </xf>
    <xf numFmtId="0" fontId="1" fillId="27" borderId="10" xfId="0" applyFont="1" applyFill="1" applyBorder="1" applyAlignment="1">
      <alignment horizontal="center" vertical="center"/>
    </xf>
    <xf numFmtId="0" fontId="0" fillId="27" borderId="0" xfId="0" applyFill="1" applyAlignment="1">
      <alignment horizontal="center" vertical="center"/>
    </xf>
    <xf numFmtId="0" fontId="0" fillId="27" borderId="11" xfId="0" applyFill="1" applyBorder="1" applyAlignment="1">
      <alignment horizontal="center" vertical="center"/>
    </xf>
    <xf numFmtId="0" fontId="27" fillId="14" borderId="49" xfId="0" applyFont="1" applyFill="1" applyBorder="1" applyAlignment="1">
      <alignment horizontal="center" vertical="center" wrapText="1"/>
    </xf>
    <xf numFmtId="0" fontId="28" fillId="0" borderId="41" xfId="0" applyFont="1" applyBorder="1" applyAlignment="1">
      <alignment horizontal="center" vertical="center" wrapText="1"/>
    </xf>
    <xf numFmtId="0" fontId="21" fillId="5" borderId="40" xfId="0" applyFont="1" applyFill="1" applyBorder="1" applyAlignment="1" applyProtection="1">
      <alignment horizontal="center" vertical="center"/>
      <protection locked="0"/>
    </xf>
    <xf numFmtId="0" fontId="22" fillId="5" borderId="29" xfId="0" applyFont="1" applyFill="1" applyBorder="1" applyAlignment="1" applyProtection="1">
      <alignment horizontal="center" vertical="center"/>
      <protection locked="0"/>
    </xf>
    <xf numFmtId="0" fontId="22" fillId="5" borderId="41" xfId="0" applyFont="1" applyFill="1" applyBorder="1" applyAlignment="1" applyProtection="1">
      <alignment horizontal="center" vertical="center"/>
      <protection locked="0"/>
    </xf>
    <xf numFmtId="0" fontId="24" fillId="26" borderId="40" xfId="0" applyFont="1" applyFill="1" applyBorder="1" applyAlignment="1">
      <alignment horizontal="right" vertical="center"/>
    </xf>
    <xf numFmtId="0" fontId="24" fillId="0" borderId="41" xfId="0" applyFont="1" applyBorder="1" applyAlignment="1">
      <alignment horizontal="right" vertical="center"/>
    </xf>
    <xf numFmtId="0" fontId="24" fillId="14" borderId="39" xfId="0" applyFont="1" applyFill="1" applyBorder="1" applyAlignment="1">
      <alignment horizontal="right" vertical="center" wrapText="1"/>
    </xf>
    <xf numFmtId="0" fontId="24" fillId="14" borderId="39" xfId="0" applyFont="1" applyFill="1" applyBorder="1" applyAlignment="1">
      <alignment horizontal="right" vertical="center"/>
    </xf>
    <xf numFmtId="0" fontId="24" fillId="14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4" fillId="14" borderId="30" xfId="3" applyBorder="1" applyAlignment="1" applyProtection="1">
      <alignment horizontal="center" vertical="center"/>
      <protection locked="0"/>
    </xf>
    <xf numFmtId="0" fontId="14" fillId="14" borderId="28" xfId="3" applyBorder="1" applyAlignment="1" applyProtection="1">
      <alignment horizontal="center" vertical="center"/>
      <protection locked="0"/>
    </xf>
    <xf numFmtId="0" fontId="14" fillId="14" borderId="31" xfId="3" applyBorder="1" applyAlignment="1" applyProtection="1">
      <alignment horizontal="center" vertical="center"/>
      <protection locked="0"/>
    </xf>
    <xf numFmtId="0" fontId="14" fillId="14" borderId="32" xfId="3" applyBorder="1" applyAlignment="1" applyProtection="1">
      <alignment vertical="center"/>
      <protection locked="0"/>
    </xf>
    <xf numFmtId="0" fontId="14" fillId="14" borderId="6" xfId="3" applyBorder="1" applyAlignment="1" applyProtection="1">
      <alignment vertical="center"/>
      <protection locked="0"/>
    </xf>
    <xf numFmtId="0" fontId="14" fillId="14" borderId="33" xfId="3" applyBorder="1" applyAlignment="1" applyProtection="1">
      <alignment vertical="center"/>
      <protection locked="0"/>
    </xf>
    <xf numFmtId="0" fontId="20" fillId="28" borderId="23" xfId="0" applyFont="1" applyFill="1" applyBorder="1" applyAlignment="1">
      <alignment vertical="center"/>
    </xf>
    <xf numFmtId="0" fontId="20" fillId="28" borderId="8" xfId="0" applyFont="1" applyFill="1" applyBorder="1" applyAlignment="1">
      <alignment vertical="center"/>
    </xf>
    <xf numFmtId="0" fontId="20" fillId="28" borderId="22" xfId="0" applyFont="1" applyFill="1" applyBorder="1" applyAlignment="1">
      <alignment vertical="center"/>
    </xf>
    <xf numFmtId="0" fontId="6" fillId="28" borderId="21" xfId="0" applyFont="1" applyFill="1" applyBorder="1" applyAlignment="1">
      <alignment horizontal="center" vertical="center"/>
    </xf>
    <xf numFmtId="0" fontId="6" fillId="28" borderId="23" xfId="0" applyFont="1" applyFill="1" applyBorder="1" applyAlignment="1">
      <alignment horizontal="center" vertical="center"/>
    </xf>
    <xf numFmtId="0" fontId="6" fillId="28" borderId="22" xfId="0" applyFont="1" applyFill="1" applyBorder="1" applyAlignment="1">
      <alignment horizontal="center" vertical="center"/>
    </xf>
    <xf numFmtId="0" fontId="0" fillId="4" borderId="7" xfId="0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0" xfId="0"/>
    <xf numFmtId="0" fontId="0" fillId="0" borderId="11" xfId="0" applyBorder="1"/>
    <xf numFmtId="0" fontId="24" fillId="14" borderId="4" xfId="0" applyFont="1" applyFill="1" applyBorder="1" applyAlignment="1">
      <alignment horizontal="center" vertical="center" wrapText="1"/>
    </xf>
    <xf numFmtId="0" fontId="0" fillId="14" borderId="4" xfId="0" applyFill="1" applyBorder="1" applyAlignment="1">
      <alignment horizontal="center" vertical="center"/>
    </xf>
    <xf numFmtId="0" fontId="26" fillId="5" borderId="4" xfId="0" applyFont="1" applyFill="1" applyBorder="1" applyAlignment="1" applyProtection="1">
      <alignment horizontal="center" vertical="center"/>
      <protection locked="0"/>
    </xf>
    <xf numFmtId="0" fontId="26" fillId="0" borderId="4" xfId="0" applyFont="1" applyBorder="1" applyAlignment="1" applyProtection="1">
      <alignment horizontal="center" vertical="center"/>
      <protection locked="0"/>
    </xf>
    <xf numFmtId="0" fontId="1" fillId="0" borderId="6" xfId="0" applyFont="1" applyBorder="1" applyAlignment="1">
      <alignment horizontal="right"/>
    </xf>
    <xf numFmtId="0" fontId="10" fillId="0" borderId="6" xfId="0" applyFont="1" applyBorder="1" applyAlignment="1">
      <alignment horizontal="right"/>
    </xf>
    <xf numFmtId="0" fontId="0" fillId="0" borderId="6" xfId="0" applyBorder="1" applyAlignment="1">
      <alignment horizontal="right"/>
    </xf>
    <xf numFmtId="4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4" borderId="0" xfId="0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0" fillId="4" borderId="0" xfId="0" applyFill="1" applyAlignment="1">
      <alignment vertical="center"/>
    </xf>
    <xf numFmtId="0" fontId="0" fillId="0" borderId="0" xfId="0" applyAlignment="1">
      <alignment horizontal="center" vertical="center"/>
    </xf>
  </cellXfs>
  <cellStyles count="4">
    <cellStyle name="Currency" xfId="1" builtinId="4"/>
    <cellStyle name="Hyperlink" xfId="2" builtinId="8" customBuiltin="1"/>
    <cellStyle name="Link Button" xfId="3" xr:uid="{00000000-0005-0000-0000-000002000000}"/>
    <cellStyle name="Normal" xfId="0" builtinId="0"/>
  </cellStyles>
  <dxfs count="116"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  <dxf>
      <numFmt numFmtId="168" formatCode="\-"/>
    </dxf>
  </dxfs>
  <tableStyles count="0" defaultTableStyle="TableStyleMedium2" defaultPivotStyle="PivotStyleLight16"/>
  <colors>
    <mruColors>
      <color rgb="FF162646"/>
      <color rgb="FFCCCCFF"/>
      <color rgb="FF9999FF"/>
      <color rgb="FFCC99FF"/>
      <color rgb="FFFFCCCC"/>
      <color rgb="FFFF9999"/>
      <color rgb="FF6666FF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8</xdr:row>
      <xdr:rowOff>4082</xdr:rowOff>
    </xdr:from>
    <xdr:to>
      <xdr:col>5</xdr:col>
      <xdr:colOff>19050</xdr:colOff>
      <xdr:row>34</xdr:row>
      <xdr:rowOff>30478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B39CAA4-6C44-024F-C191-CAD1C5043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0425" y="2852057"/>
          <a:ext cx="2438400" cy="4979396"/>
        </a:xfrm>
        <a:prstGeom prst="rect">
          <a:avLst/>
        </a:prstGeom>
      </xdr:spPr>
    </xdr:pic>
    <xdr:clientData/>
  </xdr:twoCellAnchor>
  <xdr:twoCellAnchor editAs="oneCell">
    <xdr:from>
      <xdr:col>6</xdr:col>
      <xdr:colOff>8164</xdr:colOff>
      <xdr:row>7</xdr:row>
      <xdr:rowOff>166007</xdr:rowOff>
    </xdr:from>
    <xdr:to>
      <xdr:col>13</xdr:col>
      <xdr:colOff>589189</xdr:colOff>
      <xdr:row>34</xdr:row>
      <xdr:rowOff>71650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6726C2C-68C3-D9DF-B139-1F5CA0B06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7539" y="2823482"/>
          <a:ext cx="4848225" cy="50491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6</xdr:row>
      <xdr:rowOff>85725</xdr:rowOff>
    </xdr:from>
    <xdr:to>
      <xdr:col>25</xdr:col>
      <xdr:colOff>9525</xdr:colOff>
      <xdr:row>28</xdr:row>
      <xdr:rowOff>113182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1450" y="1295400"/>
          <a:ext cx="2447925" cy="4237507"/>
        </a:xfrm>
        <a:prstGeom prst="rect">
          <a:avLst/>
        </a:prstGeom>
      </xdr:spPr>
    </xdr:pic>
    <xdr:clientData/>
  </xdr:twoCellAnchor>
  <xdr:twoCellAnchor>
    <xdr:from>
      <xdr:col>26</xdr:col>
      <xdr:colOff>1</xdr:colOff>
      <xdr:row>6</xdr:row>
      <xdr:rowOff>85725</xdr:rowOff>
    </xdr:from>
    <xdr:to>
      <xdr:col>30</xdr:col>
      <xdr:colOff>9526</xdr:colOff>
      <xdr:row>28</xdr:row>
      <xdr:rowOff>113182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9451" y="1295400"/>
          <a:ext cx="2447925" cy="4237507"/>
        </a:xfrm>
        <a:prstGeom prst="rect">
          <a:avLst/>
        </a:prstGeom>
      </xdr:spPr>
    </xdr:pic>
    <xdr:clientData/>
  </xdr:twoCellAnchor>
  <xdr:twoCellAnchor>
    <xdr:from>
      <xdr:col>21</xdr:col>
      <xdr:colOff>59871</xdr:colOff>
      <xdr:row>6</xdr:row>
      <xdr:rowOff>95251</xdr:rowOff>
    </xdr:from>
    <xdr:to>
      <xdr:col>21</xdr:col>
      <xdr:colOff>317046</xdr:colOff>
      <xdr:row>9</xdr:row>
      <xdr:rowOff>114301</xdr:rowOff>
    </xdr:to>
    <xdr:sp macro="" textlink="">
      <xdr:nvSpPr>
        <xdr:cNvPr id="51" name="Rectangl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12344400" y="1309008"/>
          <a:ext cx="257175" cy="590550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1</a:t>
          </a:r>
        </a:p>
      </xdr:txBody>
    </xdr:sp>
    <xdr:clientData/>
  </xdr:twoCellAnchor>
  <xdr:twoCellAnchor>
    <xdr:from>
      <xdr:col>21</xdr:col>
      <xdr:colOff>412296</xdr:colOff>
      <xdr:row>6</xdr:row>
      <xdr:rowOff>95251</xdr:rowOff>
    </xdr:from>
    <xdr:to>
      <xdr:col>22</xdr:col>
      <xdr:colOff>59871</xdr:colOff>
      <xdr:row>9</xdr:row>
      <xdr:rowOff>114301</xdr:rowOff>
    </xdr:to>
    <xdr:sp macro="" textlink="">
      <xdr:nvSpPr>
        <xdr:cNvPr id="52" name="Rectangl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12696825" y="1309008"/>
          <a:ext cx="300717" cy="590550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2</a:t>
          </a:r>
        </a:p>
      </xdr:txBody>
    </xdr:sp>
    <xdr:clientData/>
  </xdr:twoCellAnchor>
  <xdr:twoCellAnchor>
    <xdr:from>
      <xdr:col>22</xdr:col>
      <xdr:colOff>155121</xdr:colOff>
      <xdr:row>6</xdr:row>
      <xdr:rowOff>95251</xdr:rowOff>
    </xdr:from>
    <xdr:to>
      <xdr:col>22</xdr:col>
      <xdr:colOff>412296</xdr:colOff>
      <xdr:row>9</xdr:row>
      <xdr:rowOff>114301</xdr:rowOff>
    </xdr:to>
    <xdr:sp macro="" textlink="">
      <xdr:nvSpPr>
        <xdr:cNvPr id="53" name="Rectangl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13092792" y="1309008"/>
          <a:ext cx="257175" cy="590550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3</a:t>
          </a:r>
        </a:p>
      </xdr:txBody>
    </xdr:sp>
    <xdr:clientData/>
  </xdr:twoCellAnchor>
  <xdr:twoCellAnchor>
    <xdr:from>
      <xdr:col>21</xdr:col>
      <xdr:colOff>59871</xdr:colOff>
      <xdr:row>9</xdr:row>
      <xdr:rowOff>123826</xdr:rowOff>
    </xdr:from>
    <xdr:to>
      <xdr:col>21</xdr:col>
      <xdr:colOff>317046</xdr:colOff>
      <xdr:row>12</xdr:row>
      <xdr:rowOff>142876</xdr:rowOff>
    </xdr:to>
    <xdr:sp macro="" textlink="">
      <xdr:nvSpPr>
        <xdr:cNvPr id="54" name="Rectangl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>
        <a:xfrm>
          <a:off x="12344400" y="1909083"/>
          <a:ext cx="257175" cy="590550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4</a:t>
          </a:r>
        </a:p>
      </xdr:txBody>
    </xdr:sp>
    <xdr:clientData/>
  </xdr:twoCellAnchor>
  <xdr:twoCellAnchor>
    <xdr:from>
      <xdr:col>21</xdr:col>
      <xdr:colOff>412296</xdr:colOff>
      <xdr:row>9</xdr:row>
      <xdr:rowOff>123826</xdr:rowOff>
    </xdr:from>
    <xdr:to>
      <xdr:col>22</xdr:col>
      <xdr:colOff>59871</xdr:colOff>
      <xdr:row>12</xdr:row>
      <xdr:rowOff>142876</xdr:rowOff>
    </xdr:to>
    <xdr:sp macro="" textlink="">
      <xdr:nvSpPr>
        <xdr:cNvPr id="55" name="Rectangl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12696825" y="1909083"/>
          <a:ext cx="300717" cy="590550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5</a:t>
          </a:r>
        </a:p>
      </xdr:txBody>
    </xdr:sp>
    <xdr:clientData/>
  </xdr:twoCellAnchor>
  <xdr:twoCellAnchor>
    <xdr:from>
      <xdr:col>22</xdr:col>
      <xdr:colOff>155121</xdr:colOff>
      <xdr:row>9</xdr:row>
      <xdr:rowOff>123826</xdr:rowOff>
    </xdr:from>
    <xdr:to>
      <xdr:col>22</xdr:col>
      <xdr:colOff>412296</xdr:colOff>
      <xdr:row>12</xdr:row>
      <xdr:rowOff>142876</xdr:rowOff>
    </xdr:to>
    <xdr:sp macro="" textlink="">
      <xdr:nvSpPr>
        <xdr:cNvPr id="56" name="Rectangl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/>
      </xdr:nvSpPr>
      <xdr:spPr>
        <a:xfrm>
          <a:off x="13092792" y="1909083"/>
          <a:ext cx="257175" cy="590550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6</a:t>
          </a:r>
        </a:p>
      </xdr:txBody>
    </xdr:sp>
    <xdr:clientData/>
  </xdr:twoCellAnchor>
  <xdr:twoCellAnchor>
    <xdr:from>
      <xdr:col>21</xdr:col>
      <xdr:colOff>126546</xdr:colOff>
      <xdr:row>12</xdr:row>
      <xdr:rowOff>157164</xdr:rowOff>
    </xdr:from>
    <xdr:to>
      <xdr:col>21</xdr:col>
      <xdr:colOff>431346</xdr:colOff>
      <xdr:row>16</xdr:row>
      <xdr:rowOff>176214</xdr:rowOff>
    </xdr:to>
    <xdr:sp macro="" textlink="">
      <xdr:nvSpPr>
        <xdr:cNvPr id="57" name="Rectangl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12411075" y="2513921"/>
          <a:ext cx="304800" cy="781050"/>
        </a:xfrm>
        <a:prstGeom prst="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7</a:t>
          </a:r>
        </a:p>
      </xdr:txBody>
    </xdr:sp>
    <xdr:clientData/>
  </xdr:twoCellAnchor>
  <xdr:twoCellAnchor>
    <xdr:from>
      <xdr:col>21</xdr:col>
      <xdr:colOff>607560</xdr:colOff>
      <xdr:row>13</xdr:row>
      <xdr:rowOff>38101</xdr:rowOff>
    </xdr:from>
    <xdr:to>
      <xdr:col>22</xdr:col>
      <xdr:colOff>383722</xdr:colOff>
      <xdr:row>16</xdr:row>
      <xdr:rowOff>123826</xdr:rowOff>
    </xdr:to>
    <xdr:sp macro="" textlink="">
      <xdr:nvSpPr>
        <xdr:cNvPr id="58" name="Rectangl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12892089" y="2585358"/>
          <a:ext cx="429304" cy="657225"/>
        </a:xfrm>
        <a:prstGeom prst="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8</a:t>
          </a:r>
        </a:p>
      </xdr:txBody>
    </xdr:sp>
    <xdr:clientData/>
  </xdr:twoCellAnchor>
  <xdr:twoCellAnchor>
    <xdr:from>
      <xdr:col>21</xdr:col>
      <xdr:colOff>55109</xdr:colOff>
      <xdr:row>17</xdr:row>
      <xdr:rowOff>0</xdr:rowOff>
    </xdr:from>
    <xdr:to>
      <xdr:col>21</xdr:col>
      <xdr:colOff>512308</xdr:colOff>
      <xdr:row>21</xdr:row>
      <xdr:rowOff>14288</xdr:rowOff>
    </xdr:to>
    <xdr:sp macro="" textlink="">
      <xdr:nvSpPr>
        <xdr:cNvPr id="59" name="Rectangl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/>
      </xdr:nvSpPr>
      <xdr:spPr>
        <a:xfrm>
          <a:off x="12339638" y="3309257"/>
          <a:ext cx="457199" cy="776288"/>
        </a:xfrm>
        <a:prstGeom prst="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9</a:t>
          </a:r>
        </a:p>
      </xdr:txBody>
    </xdr:sp>
    <xdr:clientData/>
  </xdr:twoCellAnchor>
  <xdr:twoCellAnchor>
    <xdr:from>
      <xdr:col>21</xdr:col>
      <xdr:colOff>569459</xdr:colOff>
      <xdr:row>16</xdr:row>
      <xdr:rowOff>190499</xdr:rowOff>
    </xdr:from>
    <xdr:to>
      <xdr:col>22</xdr:col>
      <xdr:colOff>417058</xdr:colOff>
      <xdr:row>21</xdr:row>
      <xdr:rowOff>14287</xdr:rowOff>
    </xdr:to>
    <xdr:sp macro="" textlink="">
      <xdr:nvSpPr>
        <xdr:cNvPr id="60" name="Rectangl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12853988" y="3309256"/>
          <a:ext cx="500741" cy="776288"/>
        </a:xfrm>
        <a:prstGeom prst="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10</a:t>
          </a:r>
        </a:p>
      </xdr:txBody>
    </xdr:sp>
    <xdr:clientData/>
  </xdr:twoCellAnchor>
  <xdr:twoCellAnchor>
    <xdr:from>
      <xdr:col>21</xdr:col>
      <xdr:colOff>31297</xdr:colOff>
      <xdr:row>21</xdr:row>
      <xdr:rowOff>23811</xdr:rowOff>
    </xdr:from>
    <xdr:to>
      <xdr:col>21</xdr:col>
      <xdr:colOff>631371</xdr:colOff>
      <xdr:row>28</xdr:row>
      <xdr:rowOff>109539</xdr:rowOff>
    </xdr:to>
    <xdr:sp macro="" textlink="">
      <xdr:nvSpPr>
        <xdr:cNvPr id="61" name="Rectangl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12315826" y="4095068"/>
          <a:ext cx="600074" cy="1430114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11</a:t>
          </a:r>
        </a:p>
      </xdr:txBody>
    </xdr:sp>
    <xdr:clientData/>
  </xdr:twoCellAnchor>
  <xdr:twoCellAnchor>
    <xdr:from>
      <xdr:col>22</xdr:col>
      <xdr:colOff>45585</xdr:colOff>
      <xdr:row>21</xdr:row>
      <xdr:rowOff>23812</xdr:rowOff>
    </xdr:from>
    <xdr:to>
      <xdr:col>23</xdr:col>
      <xdr:colOff>36059</xdr:colOff>
      <xdr:row>28</xdr:row>
      <xdr:rowOff>109540</xdr:rowOff>
    </xdr:to>
    <xdr:sp macro="" textlink="">
      <xdr:nvSpPr>
        <xdr:cNvPr id="62" name="Rectangl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>
          <a:off x="12983256" y="4095069"/>
          <a:ext cx="643617" cy="1430114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12</a:t>
          </a:r>
        </a:p>
      </xdr:txBody>
    </xdr:sp>
    <xdr:clientData/>
  </xdr:twoCellAnchor>
  <xdr:twoCellAnchor>
    <xdr:from>
      <xdr:col>22</xdr:col>
      <xdr:colOff>493258</xdr:colOff>
      <xdr:row>6</xdr:row>
      <xdr:rowOff>95251</xdr:rowOff>
    </xdr:from>
    <xdr:to>
      <xdr:col>23</xdr:col>
      <xdr:colOff>212271</xdr:colOff>
      <xdr:row>10</xdr:row>
      <xdr:rowOff>119064</xdr:rowOff>
    </xdr:to>
    <xdr:sp macro="" textlink="">
      <xdr:nvSpPr>
        <xdr:cNvPr id="63" name="Rectangl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>
          <a:off x="13430929" y="1309008"/>
          <a:ext cx="372156" cy="785813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tx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13</a:t>
          </a:r>
        </a:p>
      </xdr:txBody>
    </xdr:sp>
    <xdr:clientData/>
  </xdr:twoCellAnchor>
  <xdr:twoCellAnchor>
    <xdr:from>
      <xdr:col>23</xdr:col>
      <xdr:colOff>221796</xdr:colOff>
      <xdr:row>6</xdr:row>
      <xdr:rowOff>95251</xdr:rowOff>
    </xdr:from>
    <xdr:to>
      <xdr:col>23</xdr:col>
      <xdr:colOff>550409</xdr:colOff>
      <xdr:row>10</xdr:row>
      <xdr:rowOff>119064</xdr:rowOff>
    </xdr:to>
    <xdr:sp macro="" textlink="">
      <xdr:nvSpPr>
        <xdr:cNvPr id="64" name="Rectangl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>
        <a:xfrm>
          <a:off x="13812610" y="1309008"/>
          <a:ext cx="328613" cy="785813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tx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14</a:t>
          </a:r>
        </a:p>
      </xdr:txBody>
    </xdr:sp>
    <xdr:clientData/>
  </xdr:twoCellAnchor>
  <xdr:twoCellAnchor>
    <xdr:from>
      <xdr:col>23</xdr:col>
      <xdr:colOff>559934</xdr:colOff>
      <xdr:row>6</xdr:row>
      <xdr:rowOff>95250</xdr:rowOff>
    </xdr:from>
    <xdr:to>
      <xdr:col>24</xdr:col>
      <xdr:colOff>278947</xdr:colOff>
      <xdr:row>10</xdr:row>
      <xdr:rowOff>119063</xdr:rowOff>
    </xdr:to>
    <xdr:sp macro="" textlink="">
      <xdr:nvSpPr>
        <xdr:cNvPr id="65" name="Rectangl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>
        <a:xfrm>
          <a:off x="14150748" y="1309007"/>
          <a:ext cx="372156" cy="785813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tx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15</a:t>
          </a:r>
        </a:p>
      </xdr:txBody>
    </xdr:sp>
    <xdr:clientData/>
  </xdr:twoCellAnchor>
  <xdr:twoCellAnchor>
    <xdr:from>
      <xdr:col>24</xdr:col>
      <xdr:colOff>288472</xdr:colOff>
      <xdr:row>6</xdr:row>
      <xdr:rowOff>95250</xdr:rowOff>
    </xdr:from>
    <xdr:to>
      <xdr:col>24</xdr:col>
      <xdr:colOff>617085</xdr:colOff>
      <xdr:row>10</xdr:row>
      <xdr:rowOff>119063</xdr:rowOff>
    </xdr:to>
    <xdr:sp macro="" textlink="">
      <xdr:nvSpPr>
        <xdr:cNvPr id="66" name="Rectangl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14532429" y="1309007"/>
          <a:ext cx="328613" cy="785813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tx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16</a:t>
          </a:r>
        </a:p>
      </xdr:txBody>
    </xdr:sp>
    <xdr:clientData/>
  </xdr:twoCellAnchor>
  <xdr:twoCellAnchor>
    <xdr:from>
      <xdr:col>22</xdr:col>
      <xdr:colOff>517072</xdr:colOff>
      <xdr:row>10</xdr:row>
      <xdr:rowOff>166689</xdr:rowOff>
    </xdr:from>
    <xdr:to>
      <xdr:col>23</xdr:col>
      <xdr:colOff>550409</xdr:colOff>
      <xdr:row>15</xdr:row>
      <xdr:rowOff>57151</xdr:rowOff>
    </xdr:to>
    <xdr:sp macro="" textlink="">
      <xdr:nvSpPr>
        <xdr:cNvPr id="67" name="Rectangl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13454743" y="2142446"/>
          <a:ext cx="686480" cy="842962"/>
        </a:xfrm>
        <a:prstGeom prst="rect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17</a:t>
          </a:r>
        </a:p>
      </xdr:txBody>
    </xdr:sp>
    <xdr:clientData/>
  </xdr:twoCellAnchor>
  <xdr:twoCellAnchor>
    <xdr:from>
      <xdr:col>23</xdr:col>
      <xdr:colOff>574223</xdr:colOff>
      <xdr:row>10</xdr:row>
      <xdr:rowOff>166689</xdr:rowOff>
    </xdr:from>
    <xdr:to>
      <xdr:col>24</xdr:col>
      <xdr:colOff>607560</xdr:colOff>
      <xdr:row>15</xdr:row>
      <xdr:rowOff>57151</xdr:rowOff>
    </xdr:to>
    <xdr:sp macro="" textlink="">
      <xdr:nvSpPr>
        <xdr:cNvPr id="68" name="Rectangl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>
          <a:off x="14165037" y="2142446"/>
          <a:ext cx="686480" cy="842962"/>
        </a:xfrm>
        <a:prstGeom prst="rect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18</a:t>
          </a:r>
        </a:p>
      </xdr:txBody>
    </xdr:sp>
    <xdr:clientData/>
  </xdr:twoCellAnchor>
  <xdr:twoCellAnchor>
    <xdr:from>
      <xdr:col>22</xdr:col>
      <xdr:colOff>517073</xdr:colOff>
      <xdr:row>15</xdr:row>
      <xdr:rowOff>109540</xdr:rowOff>
    </xdr:from>
    <xdr:to>
      <xdr:col>23</xdr:col>
      <xdr:colOff>550410</xdr:colOff>
      <xdr:row>20</xdr:row>
      <xdr:rowOff>2</xdr:rowOff>
    </xdr:to>
    <xdr:sp macro="" textlink="">
      <xdr:nvSpPr>
        <xdr:cNvPr id="69" name="Rectangl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/>
      </xdr:nvSpPr>
      <xdr:spPr>
        <a:xfrm>
          <a:off x="13454744" y="3037797"/>
          <a:ext cx="686480" cy="842962"/>
        </a:xfrm>
        <a:prstGeom prst="rect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19</a:t>
          </a:r>
        </a:p>
      </xdr:txBody>
    </xdr:sp>
    <xdr:clientData/>
  </xdr:twoCellAnchor>
  <xdr:twoCellAnchor>
    <xdr:from>
      <xdr:col>23</xdr:col>
      <xdr:colOff>574224</xdr:colOff>
      <xdr:row>15</xdr:row>
      <xdr:rowOff>109541</xdr:rowOff>
    </xdr:from>
    <xdr:to>
      <xdr:col>24</xdr:col>
      <xdr:colOff>607561</xdr:colOff>
      <xdr:row>20</xdr:row>
      <xdr:rowOff>3</xdr:rowOff>
    </xdr:to>
    <xdr:sp macro="" textlink="">
      <xdr:nvSpPr>
        <xdr:cNvPr id="70" name="Rectangl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>
          <a:off x="14165038" y="3037798"/>
          <a:ext cx="686480" cy="842962"/>
        </a:xfrm>
        <a:prstGeom prst="rect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20</a:t>
          </a:r>
        </a:p>
      </xdr:txBody>
    </xdr:sp>
    <xdr:clientData/>
  </xdr:twoCellAnchor>
  <xdr:twoCellAnchor>
    <xdr:from>
      <xdr:col>23</xdr:col>
      <xdr:colOff>117022</xdr:colOff>
      <xdr:row>20</xdr:row>
      <xdr:rowOff>71438</xdr:rowOff>
    </xdr:from>
    <xdr:to>
      <xdr:col>23</xdr:col>
      <xdr:colOff>631371</xdr:colOff>
      <xdr:row>23</xdr:row>
      <xdr:rowOff>114300</xdr:rowOff>
    </xdr:to>
    <xdr:sp macro="" textlink="">
      <xdr:nvSpPr>
        <xdr:cNvPr id="71" name="Rectangl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>
          <a:off x="13707836" y="3952195"/>
          <a:ext cx="514349" cy="619805"/>
        </a:xfrm>
        <a:prstGeom prst="rect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21</a:t>
          </a:r>
        </a:p>
      </xdr:txBody>
    </xdr:sp>
    <xdr:clientData/>
  </xdr:twoCellAnchor>
  <xdr:twoCellAnchor>
    <xdr:from>
      <xdr:col>24</xdr:col>
      <xdr:colOff>45584</xdr:colOff>
      <xdr:row>20</xdr:row>
      <xdr:rowOff>71438</xdr:rowOff>
    </xdr:from>
    <xdr:to>
      <xdr:col>24</xdr:col>
      <xdr:colOff>559933</xdr:colOff>
      <xdr:row>23</xdr:row>
      <xdr:rowOff>114300</xdr:rowOff>
    </xdr:to>
    <xdr:sp macro="" textlink="">
      <xdr:nvSpPr>
        <xdr:cNvPr id="72" name="Rectangl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>
        <a:xfrm>
          <a:off x="14289541" y="3952195"/>
          <a:ext cx="514349" cy="619805"/>
        </a:xfrm>
        <a:prstGeom prst="rect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22</a:t>
          </a:r>
        </a:p>
      </xdr:txBody>
    </xdr:sp>
    <xdr:clientData/>
  </xdr:twoCellAnchor>
  <xdr:twoCellAnchor>
    <xdr:from>
      <xdr:col>24</xdr:col>
      <xdr:colOff>45584</xdr:colOff>
      <xdr:row>24</xdr:row>
      <xdr:rowOff>76200</xdr:rowOff>
    </xdr:from>
    <xdr:to>
      <xdr:col>24</xdr:col>
      <xdr:colOff>626608</xdr:colOff>
      <xdr:row>28</xdr:row>
      <xdr:rowOff>104776</xdr:rowOff>
    </xdr:to>
    <xdr:sp macro="" textlink="">
      <xdr:nvSpPr>
        <xdr:cNvPr id="73" name="Rectangl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>
        <a:xfrm>
          <a:off x="14289541" y="4724400"/>
          <a:ext cx="581024" cy="796019"/>
        </a:xfrm>
        <a:prstGeom prst="rect">
          <a:avLst/>
        </a:prstGeom>
        <a:solidFill>
          <a:srgbClr val="7030A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24</a:t>
          </a:r>
        </a:p>
      </xdr:txBody>
    </xdr:sp>
    <xdr:clientData/>
  </xdr:twoCellAnchor>
  <xdr:twoCellAnchor>
    <xdr:from>
      <xdr:col>23</xdr:col>
      <xdr:colOff>55109</xdr:colOff>
      <xdr:row>24</xdr:row>
      <xdr:rowOff>76200</xdr:rowOff>
    </xdr:from>
    <xdr:to>
      <xdr:col>24</xdr:col>
      <xdr:colOff>26533</xdr:colOff>
      <xdr:row>28</xdr:row>
      <xdr:rowOff>104776</xdr:rowOff>
    </xdr:to>
    <xdr:sp macro="" textlink="">
      <xdr:nvSpPr>
        <xdr:cNvPr id="74" name="Rectangl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/>
      </xdr:nvSpPr>
      <xdr:spPr>
        <a:xfrm>
          <a:off x="13645923" y="4724400"/>
          <a:ext cx="624567" cy="796019"/>
        </a:xfrm>
        <a:prstGeom prst="rect">
          <a:avLst/>
        </a:prstGeom>
        <a:solidFill>
          <a:srgbClr val="7030A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23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6</xdr:row>
      <xdr:rowOff>85725</xdr:rowOff>
    </xdr:from>
    <xdr:to>
      <xdr:col>25</xdr:col>
      <xdr:colOff>9525</xdr:colOff>
      <xdr:row>28</xdr:row>
      <xdr:rowOff>113182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9525" y="857250"/>
          <a:ext cx="2447925" cy="4237507"/>
        </a:xfrm>
        <a:prstGeom prst="rect">
          <a:avLst/>
        </a:prstGeom>
      </xdr:spPr>
    </xdr:pic>
    <xdr:clientData/>
  </xdr:twoCellAnchor>
  <xdr:twoCellAnchor>
    <xdr:from>
      <xdr:col>26</xdr:col>
      <xdr:colOff>1</xdr:colOff>
      <xdr:row>6</xdr:row>
      <xdr:rowOff>85725</xdr:rowOff>
    </xdr:from>
    <xdr:to>
      <xdr:col>30</xdr:col>
      <xdr:colOff>9526</xdr:colOff>
      <xdr:row>28</xdr:row>
      <xdr:rowOff>113182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7526" y="857250"/>
          <a:ext cx="2447925" cy="4237507"/>
        </a:xfrm>
        <a:prstGeom prst="rect">
          <a:avLst/>
        </a:prstGeom>
      </xdr:spPr>
    </xdr:pic>
    <xdr:clientData/>
  </xdr:twoCellAnchor>
  <xdr:twoCellAnchor>
    <xdr:from>
      <xdr:col>21</xdr:col>
      <xdr:colOff>59515</xdr:colOff>
      <xdr:row>6</xdr:row>
      <xdr:rowOff>90486</xdr:rowOff>
    </xdr:from>
    <xdr:to>
      <xdr:col>21</xdr:col>
      <xdr:colOff>316690</xdr:colOff>
      <xdr:row>9</xdr:row>
      <xdr:rowOff>109536</xdr:rowOff>
    </xdr:to>
    <xdr:sp macro="" textlink="">
      <xdr:nvSpPr>
        <xdr:cNvPr id="83" name="Rectangle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/>
      </xdr:nvSpPr>
      <xdr:spPr>
        <a:xfrm>
          <a:off x="11499040" y="862011"/>
          <a:ext cx="257175" cy="590550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1</a:t>
          </a:r>
        </a:p>
      </xdr:txBody>
    </xdr:sp>
    <xdr:clientData/>
  </xdr:twoCellAnchor>
  <xdr:twoCellAnchor>
    <xdr:from>
      <xdr:col>21</xdr:col>
      <xdr:colOff>330978</xdr:colOff>
      <xdr:row>6</xdr:row>
      <xdr:rowOff>90482</xdr:rowOff>
    </xdr:from>
    <xdr:to>
      <xdr:col>21</xdr:col>
      <xdr:colOff>588153</xdr:colOff>
      <xdr:row>9</xdr:row>
      <xdr:rowOff>109532</xdr:rowOff>
    </xdr:to>
    <xdr:sp macro="" textlink="">
      <xdr:nvSpPr>
        <xdr:cNvPr id="84" name="Rectangle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/>
      </xdr:nvSpPr>
      <xdr:spPr>
        <a:xfrm>
          <a:off x="11770503" y="862007"/>
          <a:ext cx="257175" cy="590550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2</a:t>
          </a:r>
        </a:p>
      </xdr:txBody>
    </xdr:sp>
    <xdr:clientData/>
  </xdr:twoCellAnchor>
  <xdr:twoCellAnchor>
    <xdr:from>
      <xdr:col>21</xdr:col>
      <xdr:colOff>597677</xdr:colOff>
      <xdr:row>6</xdr:row>
      <xdr:rowOff>90481</xdr:rowOff>
    </xdr:from>
    <xdr:to>
      <xdr:col>22</xdr:col>
      <xdr:colOff>245252</xdr:colOff>
      <xdr:row>9</xdr:row>
      <xdr:rowOff>109531</xdr:rowOff>
    </xdr:to>
    <xdr:sp macro="" textlink="">
      <xdr:nvSpPr>
        <xdr:cNvPr id="85" name="Rectangle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/>
      </xdr:nvSpPr>
      <xdr:spPr>
        <a:xfrm>
          <a:off x="12037202" y="862006"/>
          <a:ext cx="257175" cy="590550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3</a:t>
          </a:r>
        </a:p>
      </xdr:txBody>
    </xdr:sp>
    <xdr:clientData/>
  </xdr:twoCellAnchor>
  <xdr:twoCellAnchor>
    <xdr:from>
      <xdr:col>21</xdr:col>
      <xdr:colOff>59514</xdr:colOff>
      <xdr:row>9</xdr:row>
      <xdr:rowOff>119061</xdr:rowOff>
    </xdr:from>
    <xdr:to>
      <xdr:col>21</xdr:col>
      <xdr:colOff>316689</xdr:colOff>
      <xdr:row>12</xdr:row>
      <xdr:rowOff>138111</xdr:rowOff>
    </xdr:to>
    <xdr:sp macro="" textlink="">
      <xdr:nvSpPr>
        <xdr:cNvPr id="86" name="Rectangle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/>
      </xdr:nvSpPr>
      <xdr:spPr>
        <a:xfrm>
          <a:off x="11499039" y="1462086"/>
          <a:ext cx="257175" cy="590550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4</a:t>
          </a:r>
        </a:p>
      </xdr:txBody>
    </xdr:sp>
    <xdr:clientData/>
  </xdr:twoCellAnchor>
  <xdr:twoCellAnchor>
    <xdr:from>
      <xdr:col>21</xdr:col>
      <xdr:colOff>330978</xdr:colOff>
      <xdr:row>9</xdr:row>
      <xdr:rowOff>119056</xdr:rowOff>
    </xdr:from>
    <xdr:to>
      <xdr:col>21</xdr:col>
      <xdr:colOff>588153</xdr:colOff>
      <xdr:row>12</xdr:row>
      <xdr:rowOff>138106</xdr:rowOff>
    </xdr:to>
    <xdr:sp macro="" textlink="">
      <xdr:nvSpPr>
        <xdr:cNvPr id="87" name="Rectangle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/>
      </xdr:nvSpPr>
      <xdr:spPr>
        <a:xfrm>
          <a:off x="11770503" y="1462081"/>
          <a:ext cx="257175" cy="590550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5</a:t>
          </a:r>
        </a:p>
      </xdr:txBody>
    </xdr:sp>
    <xdr:clientData/>
  </xdr:twoCellAnchor>
  <xdr:twoCellAnchor>
    <xdr:from>
      <xdr:col>21</xdr:col>
      <xdr:colOff>602441</xdr:colOff>
      <xdr:row>9</xdr:row>
      <xdr:rowOff>119056</xdr:rowOff>
    </xdr:from>
    <xdr:to>
      <xdr:col>22</xdr:col>
      <xdr:colOff>250016</xdr:colOff>
      <xdr:row>12</xdr:row>
      <xdr:rowOff>138106</xdr:rowOff>
    </xdr:to>
    <xdr:sp macro="" textlink="">
      <xdr:nvSpPr>
        <xdr:cNvPr id="88" name="Rectangle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/>
      </xdr:nvSpPr>
      <xdr:spPr>
        <a:xfrm>
          <a:off x="12041966" y="1462081"/>
          <a:ext cx="257175" cy="590550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6</a:t>
          </a:r>
        </a:p>
      </xdr:txBody>
    </xdr:sp>
    <xdr:clientData/>
  </xdr:twoCellAnchor>
  <xdr:twoCellAnchor>
    <xdr:from>
      <xdr:col>22</xdr:col>
      <xdr:colOff>388127</xdr:colOff>
      <xdr:row>6</xdr:row>
      <xdr:rowOff>90496</xdr:rowOff>
    </xdr:from>
    <xdr:to>
      <xdr:col>23</xdr:col>
      <xdr:colOff>35702</xdr:colOff>
      <xdr:row>9</xdr:row>
      <xdr:rowOff>109546</xdr:rowOff>
    </xdr:to>
    <xdr:sp macro="" textlink="">
      <xdr:nvSpPr>
        <xdr:cNvPr id="89" name="Rectangle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/>
      </xdr:nvSpPr>
      <xdr:spPr>
        <a:xfrm>
          <a:off x="12437252" y="862021"/>
          <a:ext cx="257175" cy="590550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7</a:t>
          </a:r>
        </a:p>
      </xdr:txBody>
    </xdr:sp>
    <xdr:clientData/>
  </xdr:twoCellAnchor>
  <xdr:twoCellAnchor>
    <xdr:from>
      <xdr:col>23</xdr:col>
      <xdr:colOff>49990</xdr:colOff>
      <xdr:row>6</xdr:row>
      <xdr:rowOff>90486</xdr:rowOff>
    </xdr:from>
    <xdr:to>
      <xdr:col>23</xdr:col>
      <xdr:colOff>307165</xdr:colOff>
      <xdr:row>9</xdr:row>
      <xdr:rowOff>109536</xdr:rowOff>
    </xdr:to>
    <xdr:sp macro="" textlink="">
      <xdr:nvSpPr>
        <xdr:cNvPr id="90" name="Rectangle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/>
      </xdr:nvSpPr>
      <xdr:spPr>
        <a:xfrm>
          <a:off x="12708715" y="862011"/>
          <a:ext cx="257175" cy="590550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8</a:t>
          </a:r>
        </a:p>
      </xdr:txBody>
    </xdr:sp>
    <xdr:clientData/>
  </xdr:twoCellAnchor>
  <xdr:twoCellAnchor>
    <xdr:from>
      <xdr:col>22</xdr:col>
      <xdr:colOff>388126</xdr:colOff>
      <xdr:row>9</xdr:row>
      <xdr:rowOff>119058</xdr:rowOff>
    </xdr:from>
    <xdr:to>
      <xdr:col>23</xdr:col>
      <xdr:colOff>35701</xdr:colOff>
      <xdr:row>12</xdr:row>
      <xdr:rowOff>138108</xdr:rowOff>
    </xdr:to>
    <xdr:sp macro="" textlink="">
      <xdr:nvSpPr>
        <xdr:cNvPr id="91" name="Rectangle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/>
      </xdr:nvSpPr>
      <xdr:spPr>
        <a:xfrm>
          <a:off x="12437251" y="1462083"/>
          <a:ext cx="257175" cy="590550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9</a:t>
          </a:r>
        </a:p>
      </xdr:txBody>
    </xdr:sp>
    <xdr:clientData/>
  </xdr:twoCellAnchor>
  <xdr:twoCellAnchor>
    <xdr:from>
      <xdr:col>23</xdr:col>
      <xdr:colOff>49989</xdr:colOff>
      <xdr:row>9</xdr:row>
      <xdr:rowOff>114299</xdr:rowOff>
    </xdr:from>
    <xdr:to>
      <xdr:col>23</xdr:col>
      <xdr:colOff>307164</xdr:colOff>
      <xdr:row>12</xdr:row>
      <xdr:rowOff>133349</xdr:rowOff>
    </xdr:to>
    <xdr:sp macro="" textlink="">
      <xdr:nvSpPr>
        <xdr:cNvPr id="92" name="Rectangle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/>
      </xdr:nvSpPr>
      <xdr:spPr>
        <a:xfrm>
          <a:off x="13080189" y="1457324"/>
          <a:ext cx="257175" cy="590550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10'#</a:t>
          </a:r>
        </a:p>
      </xdr:txBody>
    </xdr:sp>
    <xdr:clientData/>
  </xdr:twoCellAnchor>
  <xdr:twoCellAnchor>
    <xdr:from>
      <xdr:col>23</xdr:col>
      <xdr:colOff>450034</xdr:colOff>
      <xdr:row>6</xdr:row>
      <xdr:rowOff>90485</xdr:rowOff>
    </xdr:from>
    <xdr:to>
      <xdr:col>24</xdr:col>
      <xdr:colOff>166683</xdr:colOff>
      <xdr:row>9</xdr:row>
      <xdr:rowOff>161924</xdr:rowOff>
    </xdr:to>
    <xdr:sp macro="" textlink="">
      <xdr:nvSpPr>
        <xdr:cNvPr id="93" name="Rectangle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/>
      </xdr:nvSpPr>
      <xdr:spPr>
        <a:xfrm>
          <a:off x="13108759" y="862010"/>
          <a:ext cx="326249" cy="642939"/>
        </a:xfrm>
        <a:prstGeom prst="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11</a:t>
          </a:r>
        </a:p>
      </xdr:txBody>
    </xdr:sp>
    <xdr:clientData/>
  </xdr:twoCellAnchor>
  <xdr:twoCellAnchor>
    <xdr:from>
      <xdr:col>24</xdr:col>
      <xdr:colOff>240485</xdr:colOff>
      <xdr:row>6</xdr:row>
      <xdr:rowOff>90485</xdr:rowOff>
    </xdr:from>
    <xdr:to>
      <xdr:col>24</xdr:col>
      <xdr:colOff>566734</xdr:colOff>
      <xdr:row>9</xdr:row>
      <xdr:rowOff>161924</xdr:rowOff>
    </xdr:to>
    <xdr:sp macro="" textlink="">
      <xdr:nvSpPr>
        <xdr:cNvPr id="94" name="Rectangle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/>
      </xdr:nvSpPr>
      <xdr:spPr>
        <a:xfrm>
          <a:off x="13508810" y="862010"/>
          <a:ext cx="326249" cy="642939"/>
        </a:xfrm>
        <a:prstGeom prst="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12</a:t>
          </a:r>
        </a:p>
      </xdr:txBody>
    </xdr:sp>
    <xdr:clientData/>
  </xdr:twoCellAnchor>
  <xdr:twoCellAnchor>
    <xdr:from>
      <xdr:col>23</xdr:col>
      <xdr:colOff>450033</xdr:colOff>
      <xdr:row>9</xdr:row>
      <xdr:rowOff>171448</xdr:rowOff>
    </xdr:from>
    <xdr:to>
      <xdr:col>24</xdr:col>
      <xdr:colOff>166682</xdr:colOff>
      <xdr:row>14</xdr:row>
      <xdr:rowOff>0</xdr:rowOff>
    </xdr:to>
    <xdr:sp macro="" textlink="">
      <xdr:nvSpPr>
        <xdr:cNvPr id="95" name="Rectangle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/>
      </xdr:nvSpPr>
      <xdr:spPr>
        <a:xfrm>
          <a:off x="13108758" y="1514473"/>
          <a:ext cx="326249" cy="781052"/>
        </a:xfrm>
        <a:prstGeom prst="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13</a:t>
          </a:r>
        </a:p>
      </xdr:txBody>
    </xdr:sp>
    <xdr:clientData/>
  </xdr:twoCellAnchor>
  <xdr:twoCellAnchor>
    <xdr:from>
      <xdr:col>24</xdr:col>
      <xdr:colOff>240491</xdr:colOff>
      <xdr:row>9</xdr:row>
      <xdr:rowOff>171448</xdr:rowOff>
    </xdr:from>
    <xdr:to>
      <xdr:col>24</xdr:col>
      <xdr:colOff>566740</xdr:colOff>
      <xdr:row>14</xdr:row>
      <xdr:rowOff>0</xdr:rowOff>
    </xdr:to>
    <xdr:sp macro="" textlink="">
      <xdr:nvSpPr>
        <xdr:cNvPr id="96" name="Rectangle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/>
      </xdr:nvSpPr>
      <xdr:spPr>
        <a:xfrm>
          <a:off x="13508816" y="1514473"/>
          <a:ext cx="326249" cy="781052"/>
        </a:xfrm>
        <a:prstGeom prst="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14</a:t>
          </a:r>
        </a:p>
      </xdr:txBody>
    </xdr:sp>
    <xdr:clientData/>
  </xdr:twoCellAnchor>
  <xdr:twoCellAnchor>
    <xdr:from>
      <xdr:col>21</xdr:col>
      <xdr:colOff>40464</xdr:colOff>
      <xdr:row>12</xdr:row>
      <xdr:rowOff>152401</xdr:rowOff>
    </xdr:from>
    <xdr:to>
      <xdr:col>21</xdr:col>
      <xdr:colOff>497663</xdr:colOff>
      <xdr:row>16</xdr:row>
      <xdr:rowOff>166689</xdr:rowOff>
    </xdr:to>
    <xdr:sp macro="" textlink="">
      <xdr:nvSpPr>
        <xdr:cNvPr id="98" name="Rectangle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/>
      </xdr:nvSpPr>
      <xdr:spPr>
        <a:xfrm>
          <a:off x="11479989" y="2066926"/>
          <a:ext cx="457199" cy="776288"/>
        </a:xfrm>
        <a:prstGeom prst="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15</a:t>
          </a:r>
        </a:p>
      </xdr:txBody>
    </xdr:sp>
    <xdr:clientData/>
  </xdr:twoCellAnchor>
  <xdr:twoCellAnchor>
    <xdr:from>
      <xdr:col>21</xdr:col>
      <xdr:colOff>516714</xdr:colOff>
      <xdr:row>12</xdr:row>
      <xdr:rowOff>147638</xdr:rowOff>
    </xdr:from>
    <xdr:to>
      <xdr:col>22</xdr:col>
      <xdr:colOff>364313</xdr:colOff>
      <xdr:row>16</xdr:row>
      <xdr:rowOff>161926</xdr:rowOff>
    </xdr:to>
    <xdr:sp macro="" textlink="">
      <xdr:nvSpPr>
        <xdr:cNvPr id="99" name="Rectangle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/>
      </xdr:nvSpPr>
      <xdr:spPr>
        <a:xfrm>
          <a:off x="11956239" y="2062163"/>
          <a:ext cx="457199" cy="776288"/>
        </a:xfrm>
        <a:prstGeom prst="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16</a:t>
          </a:r>
        </a:p>
      </xdr:txBody>
    </xdr:sp>
    <xdr:clientData/>
  </xdr:twoCellAnchor>
  <xdr:twoCellAnchor>
    <xdr:from>
      <xdr:col>22</xdr:col>
      <xdr:colOff>378601</xdr:colOff>
      <xdr:row>12</xdr:row>
      <xdr:rowOff>147639</xdr:rowOff>
    </xdr:from>
    <xdr:to>
      <xdr:col>23</xdr:col>
      <xdr:colOff>226200</xdr:colOff>
      <xdr:row>16</xdr:row>
      <xdr:rowOff>161927</xdr:rowOff>
    </xdr:to>
    <xdr:sp macro="" textlink="">
      <xdr:nvSpPr>
        <xdr:cNvPr id="100" name="Rectangle 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/>
      </xdr:nvSpPr>
      <xdr:spPr>
        <a:xfrm>
          <a:off x="12427726" y="2062164"/>
          <a:ext cx="457199" cy="776288"/>
        </a:xfrm>
        <a:prstGeom prst="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17</a:t>
          </a:r>
        </a:p>
      </xdr:txBody>
    </xdr:sp>
    <xdr:clientData/>
  </xdr:twoCellAnchor>
  <xdr:twoCellAnchor>
    <xdr:from>
      <xdr:col>21</xdr:col>
      <xdr:colOff>40464</xdr:colOff>
      <xdr:row>16</xdr:row>
      <xdr:rowOff>176213</xdr:rowOff>
    </xdr:from>
    <xdr:to>
      <xdr:col>21</xdr:col>
      <xdr:colOff>497663</xdr:colOff>
      <xdr:row>21</xdr:row>
      <xdr:rowOff>1</xdr:rowOff>
    </xdr:to>
    <xdr:sp macro="" textlink="">
      <xdr:nvSpPr>
        <xdr:cNvPr id="101" name="Rectangle 100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/>
      </xdr:nvSpPr>
      <xdr:spPr>
        <a:xfrm>
          <a:off x="11479989" y="2852738"/>
          <a:ext cx="457199" cy="776288"/>
        </a:xfrm>
        <a:prstGeom prst="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18</a:t>
          </a:r>
        </a:p>
      </xdr:txBody>
    </xdr:sp>
    <xdr:clientData/>
  </xdr:twoCellAnchor>
  <xdr:twoCellAnchor>
    <xdr:from>
      <xdr:col>21</xdr:col>
      <xdr:colOff>516714</xdr:colOff>
      <xdr:row>16</xdr:row>
      <xdr:rowOff>171450</xdr:rowOff>
    </xdr:from>
    <xdr:to>
      <xdr:col>22</xdr:col>
      <xdr:colOff>364313</xdr:colOff>
      <xdr:row>20</xdr:row>
      <xdr:rowOff>185738</xdr:rowOff>
    </xdr:to>
    <xdr:sp macro="" textlink="">
      <xdr:nvSpPr>
        <xdr:cNvPr id="102" name="Rectangle 1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/>
      </xdr:nvSpPr>
      <xdr:spPr>
        <a:xfrm>
          <a:off x="11956239" y="2847975"/>
          <a:ext cx="457199" cy="776288"/>
        </a:xfrm>
        <a:prstGeom prst="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19</a:t>
          </a:r>
        </a:p>
      </xdr:txBody>
    </xdr:sp>
    <xdr:clientData/>
  </xdr:twoCellAnchor>
  <xdr:twoCellAnchor>
    <xdr:from>
      <xdr:col>22</xdr:col>
      <xdr:colOff>378601</xdr:colOff>
      <xdr:row>16</xdr:row>
      <xdr:rowOff>171451</xdr:rowOff>
    </xdr:from>
    <xdr:to>
      <xdr:col>23</xdr:col>
      <xdr:colOff>226200</xdr:colOff>
      <xdr:row>20</xdr:row>
      <xdr:rowOff>185739</xdr:rowOff>
    </xdr:to>
    <xdr:sp macro="" textlink="">
      <xdr:nvSpPr>
        <xdr:cNvPr id="103" name="Rectangle 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/>
      </xdr:nvSpPr>
      <xdr:spPr>
        <a:xfrm>
          <a:off x="12427726" y="2847976"/>
          <a:ext cx="457199" cy="776288"/>
        </a:xfrm>
        <a:prstGeom prst="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20</a:t>
          </a:r>
        </a:p>
      </xdr:txBody>
    </xdr:sp>
    <xdr:clientData/>
  </xdr:twoCellAnchor>
  <xdr:twoCellAnchor>
    <xdr:from>
      <xdr:col>23</xdr:col>
      <xdr:colOff>297639</xdr:colOff>
      <xdr:row>14</xdr:row>
      <xdr:rowOff>16654</xdr:rowOff>
    </xdr:from>
    <xdr:to>
      <xdr:col>24</xdr:col>
      <xdr:colOff>73801</xdr:colOff>
      <xdr:row>17</xdr:row>
      <xdr:rowOff>102379</xdr:rowOff>
    </xdr:to>
    <xdr:sp macro="" textlink="">
      <xdr:nvSpPr>
        <xdr:cNvPr id="104" name="Rectangle 103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SpPr/>
      </xdr:nvSpPr>
      <xdr:spPr>
        <a:xfrm>
          <a:off x="12956364" y="2312179"/>
          <a:ext cx="385762" cy="657225"/>
        </a:xfrm>
        <a:prstGeom prst="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21</a:t>
          </a:r>
        </a:p>
      </xdr:txBody>
    </xdr:sp>
    <xdr:clientData/>
  </xdr:twoCellAnchor>
  <xdr:twoCellAnchor>
    <xdr:from>
      <xdr:col>24</xdr:col>
      <xdr:colOff>159526</xdr:colOff>
      <xdr:row>14</xdr:row>
      <xdr:rowOff>21416</xdr:rowOff>
    </xdr:from>
    <xdr:to>
      <xdr:col>24</xdr:col>
      <xdr:colOff>545288</xdr:colOff>
      <xdr:row>17</xdr:row>
      <xdr:rowOff>107141</xdr:rowOff>
    </xdr:to>
    <xdr:sp macro="" textlink="">
      <xdr:nvSpPr>
        <xdr:cNvPr id="105" name="Rectangle 1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SpPr/>
      </xdr:nvSpPr>
      <xdr:spPr>
        <a:xfrm>
          <a:off x="13799326" y="2316941"/>
          <a:ext cx="385762" cy="657225"/>
        </a:xfrm>
        <a:prstGeom prst="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22</a:t>
          </a:r>
        </a:p>
      </xdr:txBody>
    </xdr:sp>
    <xdr:clientData/>
  </xdr:twoCellAnchor>
  <xdr:twoCellAnchor>
    <xdr:from>
      <xdr:col>23</xdr:col>
      <xdr:colOff>264302</xdr:colOff>
      <xdr:row>17</xdr:row>
      <xdr:rowOff>114303</xdr:rowOff>
    </xdr:from>
    <xdr:to>
      <xdr:col>24</xdr:col>
      <xdr:colOff>111901</xdr:colOff>
      <xdr:row>20</xdr:row>
      <xdr:rowOff>185741</xdr:rowOff>
    </xdr:to>
    <xdr:sp macro="" textlink="">
      <xdr:nvSpPr>
        <xdr:cNvPr id="106" name="Rectangle 105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SpPr/>
      </xdr:nvSpPr>
      <xdr:spPr>
        <a:xfrm>
          <a:off x="12923027" y="2981328"/>
          <a:ext cx="457199" cy="642938"/>
        </a:xfrm>
        <a:prstGeom prst="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23</a:t>
          </a:r>
        </a:p>
      </xdr:txBody>
    </xdr:sp>
    <xdr:clientData/>
  </xdr:twoCellAnchor>
  <xdr:twoCellAnchor>
    <xdr:from>
      <xdr:col>24</xdr:col>
      <xdr:colOff>126190</xdr:colOff>
      <xdr:row>17</xdr:row>
      <xdr:rowOff>114303</xdr:rowOff>
    </xdr:from>
    <xdr:to>
      <xdr:col>24</xdr:col>
      <xdr:colOff>583389</xdr:colOff>
      <xdr:row>20</xdr:row>
      <xdr:rowOff>185741</xdr:rowOff>
    </xdr:to>
    <xdr:sp macro="" textlink="">
      <xdr:nvSpPr>
        <xdr:cNvPr id="107" name="Rectangle 106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/>
      </xdr:nvSpPr>
      <xdr:spPr>
        <a:xfrm>
          <a:off x="13394515" y="2981328"/>
          <a:ext cx="457199" cy="642938"/>
        </a:xfrm>
        <a:prstGeom prst="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24</a:t>
          </a:r>
        </a:p>
      </xdr:txBody>
    </xdr:sp>
    <xdr:clientData/>
  </xdr:twoCellAnchor>
  <xdr:twoCellAnchor>
    <xdr:from>
      <xdr:col>21</xdr:col>
      <xdr:colOff>23817</xdr:colOff>
      <xdr:row>21</xdr:row>
      <xdr:rowOff>14288</xdr:rowOff>
    </xdr:from>
    <xdr:to>
      <xdr:col>22</xdr:col>
      <xdr:colOff>14291</xdr:colOff>
      <xdr:row>28</xdr:row>
      <xdr:rowOff>100016</xdr:rowOff>
    </xdr:to>
    <xdr:sp macro="" textlink="">
      <xdr:nvSpPr>
        <xdr:cNvPr id="109" name="Rectangle 108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SpPr/>
      </xdr:nvSpPr>
      <xdr:spPr>
        <a:xfrm>
          <a:off x="11463342" y="3643313"/>
          <a:ext cx="600074" cy="1438278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25</a:t>
          </a:r>
        </a:p>
      </xdr:txBody>
    </xdr:sp>
    <xdr:clientData/>
  </xdr:twoCellAnchor>
  <xdr:twoCellAnchor>
    <xdr:from>
      <xdr:col>22</xdr:col>
      <xdr:colOff>33339</xdr:colOff>
      <xdr:row>21</xdr:row>
      <xdr:rowOff>14288</xdr:rowOff>
    </xdr:from>
    <xdr:to>
      <xdr:col>23</xdr:col>
      <xdr:colOff>23813</xdr:colOff>
      <xdr:row>28</xdr:row>
      <xdr:rowOff>100016</xdr:rowOff>
    </xdr:to>
    <xdr:sp macro="" textlink="">
      <xdr:nvSpPr>
        <xdr:cNvPr id="110" name="Rectangle 109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SpPr/>
      </xdr:nvSpPr>
      <xdr:spPr>
        <a:xfrm>
          <a:off x="12082464" y="3643313"/>
          <a:ext cx="600074" cy="1438278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26</a:t>
          </a:r>
        </a:p>
      </xdr:txBody>
    </xdr:sp>
    <xdr:clientData/>
  </xdr:twoCellAnchor>
  <xdr:twoCellAnchor>
    <xdr:from>
      <xdr:col>23</xdr:col>
      <xdr:colOff>52387</xdr:colOff>
      <xdr:row>21</xdr:row>
      <xdr:rowOff>14287</xdr:rowOff>
    </xdr:from>
    <xdr:to>
      <xdr:col>24</xdr:col>
      <xdr:colOff>42861</xdr:colOff>
      <xdr:row>28</xdr:row>
      <xdr:rowOff>100015</xdr:rowOff>
    </xdr:to>
    <xdr:sp macro="" textlink="">
      <xdr:nvSpPr>
        <xdr:cNvPr id="111" name="Rectangle 110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SpPr/>
      </xdr:nvSpPr>
      <xdr:spPr>
        <a:xfrm>
          <a:off x="12711112" y="3643312"/>
          <a:ext cx="600074" cy="1438278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27</a:t>
          </a:r>
        </a:p>
      </xdr:txBody>
    </xdr:sp>
    <xdr:clientData/>
  </xdr:twoCellAnchor>
  <xdr:twoCellAnchor>
    <xdr:from>
      <xdr:col>24</xdr:col>
      <xdr:colOff>57151</xdr:colOff>
      <xdr:row>21</xdr:row>
      <xdr:rowOff>9525</xdr:rowOff>
    </xdr:from>
    <xdr:to>
      <xdr:col>24</xdr:col>
      <xdr:colOff>581026</xdr:colOff>
      <xdr:row>28</xdr:row>
      <xdr:rowOff>104775</xdr:rowOff>
    </xdr:to>
    <xdr:sp macro="" textlink="">
      <xdr:nvSpPr>
        <xdr:cNvPr id="114" name="Rectangle 113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SpPr/>
      </xdr:nvSpPr>
      <xdr:spPr>
        <a:xfrm>
          <a:off x="13325476" y="3638550"/>
          <a:ext cx="523875" cy="1447800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28</a:t>
          </a:r>
        </a:p>
      </xdr:txBody>
    </xdr:sp>
    <xdr:clientData/>
  </xdr:twoCellAnchor>
  <xdr:twoCellAnchor>
    <xdr:from>
      <xdr:col>26</xdr:col>
      <xdr:colOff>19050</xdr:colOff>
      <xdr:row>6</xdr:row>
      <xdr:rowOff>95252</xdr:rowOff>
    </xdr:from>
    <xdr:to>
      <xdr:col>26</xdr:col>
      <xdr:colOff>347663</xdr:colOff>
      <xdr:row>10</xdr:row>
      <xdr:rowOff>119065</xdr:rowOff>
    </xdr:to>
    <xdr:sp macro="" textlink="">
      <xdr:nvSpPr>
        <xdr:cNvPr id="115" name="Rectangle 114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SpPr/>
      </xdr:nvSpPr>
      <xdr:spPr>
        <a:xfrm>
          <a:off x="14506575" y="866777"/>
          <a:ext cx="328613" cy="785813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tx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29</a:t>
          </a:r>
        </a:p>
      </xdr:txBody>
    </xdr:sp>
    <xdr:clientData/>
  </xdr:twoCellAnchor>
  <xdr:twoCellAnchor>
    <xdr:from>
      <xdr:col>26</xdr:col>
      <xdr:colOff>361951</xdr:colOff>
      <xdr:row>6</xdr:row>
      <xdr:rowOff>95252</xdr:rowOff>
    </xdr:from>
    <xdr:to>
      <xdr:col>27</xdr:col>
      <xdr:colOff>80964</xdr:colOff>
      <xdr:row>10</xdr:row>
      <xdr:rowOff>119065</xdr:rowOff>
    </xdr:to>
    <xdr:sp macro="" textlink="">
      <xdr:nvSpPr>
        <xdr:cNvPr id="116" name="Rectangle 115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/>
      </xdr:nvSpPr>
      <xdr:spPr>
        <a:xfrm>
          <a:off x="14849476" y="866777"/>
          <a:ext cx="328613" cy="785813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tx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30</a:t>
          </a:r>
        </a:p>
      </xdr:txBody>
    </xdr:sp>
    <xdr:clientData/>
  </xdr:twoCellAnchor>
  <xdr:twoCellAnchor>
    <xdr:from>
      <xdr:col>27</xdr:col>
      <xdr:colOff>95252</xdr:colOff>
      <xdr:row>6</xdr:row>
      <xdr:rowOff>95251</xdr:rowOff>
    </xdr:from>
    <xdr:to>
      <xdr:col>27</xdr:col>
      <xdr:colOff>423865</xdr:colOff>
      <xdr:row>10</xdr:row>
      <xdr:rowOff>119064</xdr:rowOff>
    </xdr:to>
    <xdr:sp macro="" textlink="">
      <xdr:nvSpPr>
        <xdr:cNvPr id="117" name="Rectangle 116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/>
      </xdr:nvSpPr>
      <xdr:spPr>
        <a:xfrm>
          <a:off x="15192377" y="866776"/>
          <a:ext cx="328613" cy="785813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tx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31</a:t>
          </a:r>
        </a:p>
      </xdr:txBody>
    </xdr:sp>
    <xdr:clientData/>
  </xdr:twoCellAnchor>
  <xdr:twoCellAnchor>
    <xdr:from>
      <xdr:col>27</xdr:col>
      <xdr:colOff>438153</xdr:colOff>
      <xdr:row>6</xdr:row>
      <xdr:rowOff>95251</xdr:rowOff>
    </xdr:from>
    <xdr:to>
      <xdr:col>28</xdr:col>
      <xdr:colOff>157166</xdr:colOff>
      <xdr:row>10</xdr:row>
      <xdr:rowOff>119064</xdr:rowOff>
    </xdr:to>
    <xdr:sp macro="" textlink="">
      <xdr:nvSpPr>
        <xdr:cNvPr id="118" name="Rectangle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/>
      </xdr:nvSpPr>
      <xdr:spPr>
        <a:xfrm>
          <a:off x="15535278" y="866776"/>
          <a:ext cx="328613" cy="785813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tx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32</a:t>
          </a:r>
        </a:p>
      </xdr:txBody>
    </xdr:sp>
    <xdr:clientData/>
  </xdr:twoCellAnchor>
  <xdr:twoCellAnchor>
    <xdr:from>
      <xdr:col>26</xdr:col>
      <xdr:colOff>171451</xdr:colOff>
      <xdr:row>11</xdr:row>
      <xdr:rowOff>42866</xdr:rowOff>
    </xdr:from>
    <xdr:to>
      <xdr:col>27</xdr:col>
      <xdr:colOff>204788</xdr:colOff>
      <xdr:row>15</xdr:row>
      <xdr:rowOff>123828</xdr:rowOff>
    </xdr:to>
    <xdr:sp macro="" textlink="">
      <xdr:nvSpPr>
        <xdr:cNvPr id="119" name="Rectangle 118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SpPr/>
      </xdr:nvSpPr>
      <xdr:spPr>
        <a:xfrm>
          <a:off x="14658976" y="1766891"/>
          <a:ext cx="642937" cy="842962"/>
        </a:xfrm>
        <a:prstGeom prst="rect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35</a:t>
          </a:r>
        </a:p>
      </xdr:txBody>
    </xdr:sp>
    <xdr:clientData/>
  </xdr:twoCellAnchor>
  <xdr:twoCellAnchor>
    <xdr:from>
      <xdr:col>27</xdr:col>
      <xdr:colOff>295281</xdr:colOff>
      <xdr:row>11</xdr:row>
      <xdr:rowOff>42866</xdr:rowOff>
    </xdr:from>
    <xdr:to>
      <xdr:col>28</xdr:col>
      <xdr:colOff>328618</xdr:colOff>
      <xdr:row>15</xdr:row>
      <xdr:rowOff>123828</xdr:rowOff>
    </xdr:to>
    <xdr:sp macro="" textlink="">
      <xdr:nvSpPr>
        <xdr:cNvPr id="120" name="Rectangle 119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/>
      </xdr:nvSpPr>
      <xdr:spPr>
        <a:xfrm>
          <a:off x="15392406" y="1766891"/>
          <a:ext cx="642937" cy="842962"/>
        </a:xfrm>
        <a:prstGeom prst="rect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36</a:t>
          </a:r>
        </a:p>
      </xdr:txBody>
    </xdr:sp>
    <xdr:clientData/>
  </xdr:twoCellAnchor>
  <xdr:twoCellAnchor>
    <xdr:from>
      <xdr:col>28</xdr:col>
      <xdr:colOff>419107</xdr:colOff>
      <xdr:row>11</xdr:row>
      <xdr:rowOff>42866</xdr:rowOff>
    </xdr:from>
    <xdr:to>
      <xdr:col>29</xdr:col>
      <xdr:colOff>452444</xdr:colOff>
      <xdr:row>15</xdr:row>
      <xdr:rowOff>123828</xdr:rowOff>
    </xdr:to>
    <xdr:sp macro="" textlink="">
      <xdr:nvSpPr>
        <xdr:cNvPr id="121" name="Rectangle 120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SpPr/>
      </xdr:nvSpPr>
      <xdr:spPr>
        <a:xfrm>
          <a:off x="16125832" y="1766891"/>
          <a:ext cx="642937" cy="842962"/>
        </a:xfrm>
        <a:prstGeom prst="rect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37</a:t>
          </a:r>
        </a:p>
      </xdr:txBody>
    </xdr:sp>
    <xdr:clientData/>
  </xdr:twoCellAnchor>
  <xdr:twoCellAnchor>
    <xdr:from>
      <xdr:col>28</xdr:col>
      <xdr:colOff>180978</xdr:colOff>
      <xdr:row>6</xdr:row>
      <xdr:rowOff>95258</xdr:rowOff>
    </xdr:from>
    <xdr:to>
      <xdr:col>29</xdr:col>
      <xdr:colOff>85726</xdr:colOff>
      <xdr:row>9</xdr:row>
      <xdr:rowOff>166692</xdr:rowOff>
    </xdr:to>
    <xdr:sp macro="" textlink="">
      <xdr:nvSpPr>
        <xdr:cNvPr id="122" name="Rectangle 121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SpPr/>
      </xdr:nvSpPr>
      <xdr:spPr>
        <a:xfrm>
          <a:off x="16259178" y="866783"/>
          <a:ext cx="514348" cy="642934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tx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33</a:t>
          </a:r>
        </a:p>
      </xdr:txBody>
    </xdr:sp>
    <xdr:clientData/>
  </xdr:twoCellAnchor>
  <xdr:twoCellAnchor>
    <xdr:from>
      <xdr:col>29</xdr:col>
      <xdr:colOff>90490</xdr:colOff>
      <xdr:row>6</xdr:row>
      <xdr:rowOff>90492</xdr:rowOff>
    </xdr:from>
    <xdr:to>
      <xdr:col>29</xdr:col>
      <xdr:colOff>604838</xdr:colOff>
      <xdr:row>9</xdr:row>
      <xdr:rowOff>161926</xdr:rowOff>
    </xdr:to>
    <xdr:sp macro="" textlink="">
      <xdr:nvSpPr>
        <xdr:cNvPr id="123" name="Rectangle 122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/>
      </xdr:nvSpPr>
      <xdr:spPr>
        <a:xfrm>
          <a:off x="16406815" y="862017"/>
          <a:ext cx="514348" cy="642934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tx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34</a:t>
          </a:r>
        </a:p>
      </xdr:txBody>
    </xdr:sp>
    <xdr:clientData/>
  </xdr:twoCellAnchor>
  <xdr:twoCellAnchor>
    <xdr:from>
      <xdr:col>26</xdr:col>
      <xdr:colOff>85725</xdr:colOff>
      <xdr:row>16</xdr:row>
      <xdr:rowOff>47616</xdr:rowOff>
    </xdr:from>
    <xdr:to>
      <xdr:col>26</xdr:col>
      <xdr:colOff>600074</xdr:colOff>
      <xdr:row>19</xdr:row>
      <xdr:rowOff>100003</xdr:rowOff>
    </xdr:to>
    <xdr:sp macro="" textlink="">
      <xdr:nvSpPr>
        <xdr:cNvPr id="125" name="Rectangle 124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/>
      </xdr:nvSpPr>
      <xdr:spPr>
        <a:xfrm>
          <a:off x="14573250" y="2724141"/>
          <a:ext cx="514349" cy="623887"/>
        </a:xfrm>
        <a:prstGeom prst="rect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38</a:t>
          </a:r>
        </a:p>
      </xdr:txBody>
    </xdr:sp>
    <xdr:clientData/>
  </xdr:twoCellAnchor>
  <xdr:twoCellAnchor>
    <xdr:from>
      <xdr:col>27</xdr:col>
      <xdr:colOff>61917</xdr:colOff>
      <xdr:row>16</xdr:row>
      <xdr:rowOff>47616</xdr:rowOff>
    </xdr:from>
    <xdr:to>
      <xdr:col>27</xdr:col>
      <xdr:colOff>576266</xdr:colOff>
      <xdr:row>19</xdr:row>
      <xdr:rowOff>100003</xdr:rowOff>
    </xdr:to>
    <xdr:sp macro="" textlink="">
      <xdr:nvSpPr>
        <xdr:cNvPr id="126" name="Rectangle 125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SpPr/>
      </xdr:nvSpPr>
      <xdr:spPr>
        <a:xfrm>
          <a:off x="15159042" y="2724141"/>
          <a:ext cx="514349" cy="623887"/>
        </a:xfrm>
        <a:prstGeom prst="rect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39</a:t>
          </a:r>
        </a:p>
      </xdr:txBody>
    </xdr:sp>
    <xdr:clientData/>
  </xdr:twoCellAnchor>
  <xdr:twoCellAnchor>
    <xdr:from>
      <xdr:col>28</xdr:col>
      <xdr:colOff>52388</xdr:colOff>
      <xdr:row>16</xdr:row>
      <xdr:rowOff>47616</xdr:rowOff>
    </xdr:from>
    <xdr:to>
      <xdr:col>28</xdr:col>
      <xdr:colOff>566737</xdr:colOff>
      <xdr:row>19</xdr:row>
      <xdr:rowOff>100003</xdr:rowOff>
    </xdr:to>
    <xdr:sp macro="" textlink="">
      <xdr:nvSpPr>
        <xdr:cNvPr id="127" name="Rectangle 126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/>
      </xdr:nvSpPr>
      <xdr:spPr>
        <a:xfrm>
          <a:off x="15759113" y="2724141"/>
          <a:ext cx="514349" cy="623887"/>
        </a:xfrm>
        <a:prstGeom prst="rect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40</a:t>
          </a:r>
        </a:p>
      </xdr:txBody>
    </xdr:sp>
    <xdr:clientData/>
  </xdr:twoCellAnchor>
  <xdr:twoCellAnchor>
    <xdr:from>
      <xdr:col>29</xdr:col>
      <xdr:colOff>28580</xdr:colOff>
      <xdr:row>16</xdr:row>
      <xdr:rowOff>47616</xdr:rowOff>
    </xdr:from>
    <xdr:to>
      <xdr:col>29</xdr:col>
      <xdr:colOff>542929</xdr:colOff>
      <xdr:row>19</xdr:row>
      <xdr:rowOff>100003</xdr:rowOff>
    </xdr:to>
    <xdr:sp macro="" textlink="">
      <xdr:nvSpPr>
        <xdr:cNvPr id="128" name="Rectangle 127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SpPr/>
      </xdr:nvSpPr>
      <xdr:spPr>
        <a:xfrm>
          <a:off x="16344905" y="2724141"/>
          <a:ext cx="514349" cy="623887"/>
        </a:xfrm>
        <a:prstGeom prst="rect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41</a:t>
          </a:r>
        </a:p>
      </xdr:txBody>
    </xdr:sp>
    <xdr:clientData/>
  </xdr:twoCellAnchor>
  <xdr:twoCellAnchor>
    <xdr:from>
      <xdr:col>26</xdr:col>
      <xdr:colOff>171451</xdr:colOff>
      <xdr:row>20</xdr:row>
      <xdr:rowOff>33345</xdr:rowOff>
    </xdr:from>
    <xdr:to>
      <xdr:col>27</xdr:col>
      <xdr:colOff>204788</xdr:colOff>
      <xdr:row>24</xdr:row>
      <xdr:rowOff>104782</xdr:rowOff>
    </xdr:to>
    <xdr:sp macro="" textlink="">
      <xdr:nvSpPr>
        <xdr:cNvPr id="129" name="Rectangle 128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/>
      </xdr:nvSpPr>
      <xdr:spPr>
        <a:xfrm>
          <a:off x="14658976" y="3471870"/>
          <a:ext cx="642937" cy="842962"/>
        </a:xfrm>
        <a:prstGeom prst="rect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42</a:t>
          </a:r>
        </a:p>
      </xdr:txBody>
    </xdr:sp>
    <xdr:clientData/>
  </xdr:twoCellAnchor>
  <xdr:twoCellAnchor>
    <xdr:from>
      <xdr:col>27</xdr:col>
      <xdr:colOff>295281</xdr:colOff>
      <xdr:row>20</xdr:row>
      <xdr:rowOff>33345</xdr:rowOff>
    </xdr:from>
    <xdr:to>
      <xdr:col>28</xdr:col>
      <xdr:colOff>328618</xdr:colOff>
      <xdr:row>24</xdr:row>
      <xdr:rowOff>104782</xdr:rowOff>
    </xdr:to>
    <xdr:sp macro="" textlink="">
      <xdr:nvSpPr>
        <xdr:cNvPr id="130" name="Rectangle 129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>
        <a:xfrm>
          <a:off x="15392406" y="3471870"/>
          <a:ext cx="642937" cy="842962"/>
        </a:xfrm>
        <a:prstGeom prst="rect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43</a:t>
          </a:r>
        </a:p>
      </xdr:txBody>
    </xdr:sp>
    <xdr:clientData/>
  </xdr:twoCellAnchor>
  <xdr:twoCellAnchor>
    <xdr:from>
      <xdr:col>28</xdr:col>
      <xdr:colOff>447676</xdr:colOff>
      <xdr:row>21</xdr:row>
      <xdr:rowOff>23800</xdr:rowOff>
    </xdr:from>
    <xdr:to>
      <xdr:col>29</xdr:col>
      <xdr:colOff>428625</xdr:colOff>
      <xdr:row>24</xdr:row>
      <xdr:rowOff>42860</xdr:rowOff>
    </xdr:to>
    <xdr:sp macro="" textlink="">
      <xdr:nvSpPr>
        <xdr:cNvPr id="131" name="Rectangle 130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/>
      </xdr:nvSpPr>
      <xdr:spPr>
        <a:xfrm>
          <a:off x="16154401" y="3652825"/>
          <a:ext cx="590549" cy="600085"/>
        </a:xfrm>
        <a:prstGeom prst="rect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44</a:t>
          </a:r>
        </a:p>
      </xdr:txBody>
    </xdr:sp>
    <xdr:clientData/>
  </xdr:twoCellAnchor>
  <xdr:twoCellAnchor>
    <xdr:from>
      <xdr:col>26</xdr:col>
      <xdr:colOff>133350</xdr:colOff>
      <xdr:row>25</xdr:row>
      <xdr:rowOff>85727</xdr:rowOff>
    </xdr:from>
    <xdr:to>
      <xdr:col>27</xdr:col>
      <xdr:colOff>109538</xdr:colOff>
      <xdr:row>28</xdr:row>
      <xdr:rowOff>85728</xdr:rowOff>
    </xdr:to>
    <xdr:sp macro="" textlink="">
      <xdr:nvSpPr>
        <xdr:cNvPr id="132" name="Rectangle 131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/>
      </xdr:nvSpPr>
      <xdr:spPr>
        <a:xfrm>
          <a:off x="14620875" y="4486277"/>
          <a:ext cx="585788" cy="581026"/>
        </a:xfrm>
        <a:prstGeom prst="rect">
          <a:avLst/>
        </a:prstGeom>
        <a:solidFill>
          <a:srgbClr val="7030A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45</a:t>
          </a:r>
        </a:p>
      </xdr:txBody>
    </xdr:sp>
    <xdr:clientData/>
  </xdr:twoCellAnchor>
  <xdr:twoCellAnchor>
    <xdr:from>
      <xdr:col>27</xdr:col>
      <xdr:colOff>166688</xdr:colOff>
      <xdr:row>25</xdr:row>
      <xdr:rowOff>80965</xdr:rowOff>
    </xdr:from>
    <xdr:to>
      <xdr:col>28</xdr:col>
      <xdr:colOff>142876</xdr:colOff>
      <xdr:row>28</xdr:row>
      <xdr:rowOff>80966</xdr:rowOff>
    </xdr:to>
    <xdr:sp macro="" textlink="">
      <xdr:nvSpPr>
        <xdr:cNvPr id="133" name="Rectangle 132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SpPr/>
      </xdr:nvSpPr>
      <xdr:spPr>
        <a:xfrm>
          <a:off x="15263813" y="4481515"/>
          <a:ext cx="585788" cy="581026"/>
        </a:xfrm>
        <a:prstGeom prst="rect">
          <a:avLst/>
        </a:prstGeom>
        <a:solidFill>
          <a:srgbClr val="7030A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46</a:t>
          </a:r>
        </a:p>
      </xdr:txBody>
    </xdr:sp>
    <xdr:clientData/>
  </xdr:twoCellAnchor>
  <xdr:twoCellAnchor>
    <xdr:from>
      <xdr:col>28</xdr:col>
      <xdr:colOff>266700</xdr:colOff>
      <xdr:row>25</xdr:row>
      <xdr:rowOff>76203</xdr:rowOff>
    </xdr:from>
    <xdr:to>
      <xdr:col>29</xdr:col>
      <xdr:colOff>490538</xdr:colOff>
      <xdr:row>28</xdr:row>
      <xdr:rowOff>76204</xdr:rowOff>
    </xdr:to>
    <xdr:sp macro="" textlink="">
      <xdr:nvSpPr>
        <xdr:cNvPr id="134" name="Rectangle 133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/>
      </xdr:nvSpPr>
      <xdr:spPr>
        <a:xfrm>
          <a:off x="15973425" y="4476753"/>
          <a:ext cx="833438" cy="581026"/>
        </a:xfrm>
        <a:prstGeom prst="rect">
          <a:avLst/>
        </a:prstGeom>
        <a:solidFill>
          <a:srgbClr val="7030A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47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jspsafety.com/products/BGW170000T00_disposable-Vertical-Fold-Flat-Mask-FFP2V-(F622)-Box-of-20" TargetMode="External"/><Relationship Id="rId18" Type="http://schemas.openxmlformats.org/officeDocument/2006/relationships/hyperlink" Target="https://www.jspsafety.com/products/BMN740000600_PressToCheck-A2-P3-Filters-Set-of-2" TargetMode="External"/><Relationship Id="rId26" Type="http://schemas.openxmlformats.org/officeDocument/2006/relationships/hyperlink" Target="https://www.jspsafety.com/products/ASA920163000_Stealth-16g-Smoke-lightweight-Safety-Specs" TargetMode="External"/><Relationship Id="rId39" Type="http://schemas.openxmlformats.org/officeDocument/2006/relationships/hyperlink" Target="https://www.jspsafety.com/products/BPB003004000_Force10-Typhoon-Full-Face-Mask-Medium" TargetMode="External"/><Relationship Id="rId21" Type="http://schemas.openxmlformats.org/officeDocument/2006/relationships/hyperlink" Target="https://www.jspsafety.com/products/ASA790161200_Stealth-8000-Amber-Safety-Specs-Clear-Amber" TargetMode="External"/><Relationship Id="rId34" Type="http://schemas.openxmlformats.org/officeDocument/2006/relationships/hyperlink" Target="https://www.jspsafety.com/products/aeB0400A1A00_Sonis3-Adjustable-Ear-defenders-37dB-SNR" TargetMode="External"/><Relationship Id="rId42" Type="http://schemas.openxmlformats.org/officeDocument/2006/relationships/hyperlink" Target="https://www.jspsafety.com/products/AFZ101131100_Bushmaster-with-20cm-Wire-Gauze-Visor" TargetMode="External"/><Relationship Id="rId47" Type="http://schemas.openxmlformats.org/officeDocument/2006/relationships/hyperlink" Target="https://www.jspsafety.com/products/kw/flexinet/PPE/Respiratory-Protection/disposable-Masks/BER122201A00_Flexinet-Mask-FFP2V-(822)-M-l-Box-of-10" TargetMode="External"/><Relationship Id="rId50" Type="http://schemas.openxmlformats.org/officeDocument/2006/relationships/hyperlink" Target="https://www.jspsafety.com/products/AJA242X60800_EVOlite-Forestry-with-Sonis-Compact-Ear-defenders-Orange" TargetMode="External"/><Relationship Id="rId55" Type="http://schemas.openxmlformats.org/officeDocument/2006/relationships/hyperlink" Target="https://www.jspsafety.com/products/AJA170000100_EVOlite-Safety-Helmet-Wheel-Ratchet-White" TargetMode="External"/><Relationship Id="rId7" Type="http://schemas.openxmlformats.org/officeDocument/2006/relationships/hyperlink" Target="https://www.jspsafety.com/products/AMB170005F00_EVO-ViSTAlens-Safety-Helmet-with-integrated-Eyewear-Vented-White-Smoke" TargetMode="External"/><Relationship Id="rId2" Type="http://schemas.openxmlformats.org/officeDocument/2006/relationships/hyperlink" Target="https://www.jspsafety.com/products/AJE030000100_EVO2-Safety-Helmet-Slip-Ratchet-White" TargetMode="External"/><Relationship Id="rId16" Type="http://schemas.openxmlformats.org/officeDocument/2006/relationships/hyperlink" Target="https://www.jspsafety.com/products/BHT0A30l5N00_Force8-Half-Mask-with-PressToCheck-P3-Filters" TargetMode="External"/><Relationship Id="rId29" Type="http://schemas.openxmlformats.org/officeDocument/2006/relationships/hyperlink" Target="https://www.jspsafety.com/products/ASA940063000_Stealth-Coverlite-Smoke-lightweight-Overspecs" TargetMode="External"/><Relationship Id="rId11" Type="http://schemas.openxmlformats.org/officeDocument/2006/relationships/hyperlink" Target="https://www.jspsafety.com/products/BGA802206N00_Springfit-436Ml-FFP3-with-Typhoon-Valve-Retail-Ready" TargetMode="External"/><Relationship Id="rId24" Type="http://schemas.openxmlformats.org/officeDocument/2006/relationships/hyperlink" Target="https://www.jspsafety.com/products/ASA920161300_Stealth-16g-Clear-lightweight-Safety-Specs-K-Rated" TargetMode="External"/><Relationship Id="rId32" Type="http://schemas.openxmlformats.org/officeDocument/2006/relationships/hyperlink" Target="https://www.jspsafety.com/products/aeB0200AY900_Sonis2-Adjustable-Ear-defenders-31dB-SNR" TargetMode="External"/><Relationship Id="rId37" Type="http://schemas.openxmlformats.org/officeDocument/2006/relationships/hyperlink" Target="https://www.jspsafety.com/products/aeB0400C1A00_Sonis-3-Mounted-Ear-defenders-36dB-SNR" TargetMode="External"/><Relationship Id="rId40" Type="http://schemas.openxmlformats.org/officeDocument/2006/relationships/hyperlink" Target="https://www.jspsafety.com/products/BPB003204000_Force10-Typhoon-Full-Face-Mask-large" TargetMode="External"/><Relationship Id="rId45" Type="http://schemas.openxmlformats.org/officeDocument/2006/relationships/hyperlink" Target="https://www.jspsafety.com/products/AKE24A500800_EVOGuard-M3-Forestry-Helmet-System" TargetMode="External"/><Relationship Id="rId53" Type="http://schemas.openxmlformats.org/officeDocument/2006/relationships/hyperlink" Target="https://www.jspsafety.com/products/ASU200000100_Pre-Moistened-PPE-Wipes-Box-of-100" TargetMode="External"/><Relationship Id="rId5" Type="http://schemas.openxmlformats.org/officeDocument/2006/relationships/hyperlink" Target="https://www.jspsafety.com/products/AAF000002100_HardCap-aerolite-lightweight-Bump-Cap-5cm-Peak-Navy" TargetMode="External"/><Relationship Id="rId19" Type="http://schemas.openxmlformats.org/officeDocument/2006/relationships/hyperlink" Target="https://www.jspsafety.com/products/BMN750000600_PressToCheck-ABEK1-P3-Filters-Set-of-2" TargetMode="External"/><Relationship Id="rId4" Type="http://schemas.openxmlformats.org/officeDocument/2006/relationships/hyperlink" Target="https://www.jspsafety.com/products/AAF000001100_HardCap-aerolite-lightweight-Bump-Cap-5cm-Peak-Black" TargetMode="External"/><Relationship Id="rId9" Type="http://schemas.openxmlformats.org/officeDocument/2006/relationships/hyperlink" Target="https://www.jspsafety.com/products/BGA172202N00_Springfit-425Ml-FFP2-with-Typhoon-Valve-Retail-Ready" TargetMode="External"/><Relationship Id="rId14" Type="http://schemas.openxmlformats.org/officeDocument/2006/relationships/hyperlink" Target="https://www.jspsafety.com/products/BGR180000T00_disposable-Vertical-Fold-Flat-Mask-FFP3V-(F632)-Box-of-20" TargetMode="External"/><Relationship Id="rId22" Type="http://schemas.openxmlformats.org/officeDocument/2006/relationships/hyperlink" Target="https://www.jspsafety.com/products/ASA790166400_Stealth-8000-Smoke-Safety-Specs-Black-Red" TargetMode="External"/><Relationship Id="rId27" Type="http://schemas.openxmlformats.org/officeDocument/2006/relationships/hyperlink" Target="https://www.jspsafety.com/products/ASA106121300_Stealth-8000-Clear-Safety-Specs-with-lEd-Temples" TargetMode="External"/><Relationship Id="rId30" Type="http://schemas.openxmlformats.org/officeDocument/2006/relationships/hyperlink" Target="https://www.jspsafety.com/products/AGM020623000_EVO-Single-lens-Safety-Goggles" TargetMode="External"/><Relationship Id="rId35" Type="http://schemas.openxmlformats.org/officeDocument/2006/relationships/hyperlink" Target="https://www.jspsafety.com/products/aeB0100CY800_Sonis1-Mounted-Ear-defenders-26dB-SNR" TargetMode="External"/><Relationship Id="rId43" Type="http://schemas.openxmlformats.org/officeDocument/2006/relationships/hyperlink" Target="https://www.jspsafety.com/products/AKE24A500800_EVOGuard-M3-Forestry-Helmet-System" TargetMode="External"/><Relationship Id="rId48" Type="http://schemas.openxmlformats.org/officeDocument/2006/relationships/hyperlink" Target="https://www.jspsafety.com/products/kw/flexinet/PPE/Respiratory-Protection/disposable-Masks/BER152201A00_Flexinet-Mask-FFP2OV-(823)-M-l-Box-of-10" TargetMode="External"/><Relationship Id="rId56" Type="http://schemas.openxmlformats.org/officeDocument/2006/relationships/hyperlink" Target="https://www.jspsafety.com/products/AJF030000100_EVO2-Safety-Helmet-Slip-Ratchet-Vented-White" TargetMode="External"/><Relationship Id="rId8" Type="http://schemas.openxmlformats.org/officeDocument/2006/relationships/hyperlink" Target="https://www.jspsafety.com/products/AMd170005F00_EVO-ViSTAshield-Safety-Helmet-with-integrated-Faceshield-Vented-White-Smoke" TargetMode="External"/><Relationship Id="rId51" Type="http://schemas.openxmlformats.org/officeDocument/2006/relationships/hyperlink" Target="https://www.jspsafety.com/products/BPB003204000_Force10-Typhoon-Full-Face-Mask-large" TargetMode="External"/><Relationship Id="rId3" Type="http://schemas.openxmlformats.org/officeDocument/2006/relationships/hyperlink" Target="https://www.jspsafety.com/products/AJF030001100_EVO2-Safety-Helmet-Slip-Ratchet-Vented-Black" TargetMode="External"/><Relationship Id="rId12" Type="http://schemas.openxmlformats.org/officeDocument/2006/relationships/hyperlink" Target="https://www.jspsafety.com/products/BGV120000T00_disposable-Vertical-Fold-Flat-Mask-FFP2-(F621)-Box-of-30" TargetMode="External"/><Relationship Id="rId17" Type="http://schemas.openxmlformats.org/officeDocument/2006/relationships/hyperlink" Target="https://www.jspsafety.com/products/BMN990001700_PressToCheck-P3-dust-Filters-Set-of-2" TargetMode="External"/><Relationship Id="rId25" Type="http://schemas.openxmlformats.org/officeDocument/2006/relationships/hyperlink" Target="https://www.jspsafety.com/products/ASA920161200_Stealth-16g-Amber-lightweight-Safety-Specs" TargetMode="External"/><Relationship Id="rId33" Type="http://schemas.openxmlformats.org/officeDocument/2006/relationships/hyperlink" Target="https://www.jspsafety.com/products/aeB0300AY000_Sonis-Compact-low-Profile-Adjustable-Ear-defenders-32dB-SNR" TargetMode="External"/><Relationship Id="rId38" Type="http://schemas.openxmlformats.org/officeDocument/2006/relationships/hyperlink" Target="https://www.jspsafety.com/products/aeE09007021X_PU-Foam-SoundStopper-Ear-Plugs-with-Black-Band" TargetMode="External"/><Relationship Id="rId46" Type="http://schemas.openxmlformats.org/officeDocument/2006/relationships/hyperlink" Target="https://www.jspsafety.com/products/AJS260000100_EVOlite-Skyworker-industrial-Climbing-Helmet-White" TargetMode="External"/><Relationship Id="rId20" Type="http://schemas.openxmlformats.org/officeDocument/2006/relationships/hyperlink" Target="https://www.jspsafety.com/products/ASA790161300_Stealth-8000-Clear-Safety-Specs-Clear-Red" TargetMode="External"/><Relationship Id="rId41" Type="http://schemas.openxmlformats.org/officeDocument/2006/relationships/hyperlink" Target="https://www.jspsafety.com/products/AFZ061131100_Bushmaster-with-20cm-Polycarb-Visor" TargetMode="External"/><Relationship Id="rId54" Type="http://schemas.openxmlformats.org/officeDocument/2006/relationships/hyperlink" Target="https://www.jspsafety.com/products/ASU200000100_Pre-Moistened-PPE-Wipes-Box-of-100" TargetMode="External"/><Relationship Id="rId1" Type="http://schemas.openxmlformats.org/officeDocument/2006/relationships/hyperlink" Target="https://www.jspsafety.com/products/AJB170000100_EVOlite-Safety-Helmet-Wheel-Ratchet-Vented-White" TargetMode="External"/><Relationship Id="rId6" Type="http://schemas.openxmlformats.org/officeDocument/2006/relationships/hyperlink" Target="https://www.jspsafety.com/products/AJS260000100_EVOlite-Skyworker-industrial-Climbing-Helmet-White" TargetMode="External"/><Relationship Id="rId15" Type="http://schemas.openxmlformats.org/officeDocument/2006/relationships/hyperlink" Target="https://www.jspsafety.com/products/BHT0030l5000_Force8-Half-Mask-Medium-(Mask-only)" TargetMode="External"/><Relationship Id="rId23" Type="http://schemas.openxmlformats.org/officeDocument/2006/relationships/hyperlink" Target="https://www.jspsafety.com/products/ASA790162900_Stealth-8000-indoor-Outdoor-Safety-Specs-Clear-Red" TargetMode="External"/><Relationship Id="rId28" Type="http://schemas.openxmlformats.org/officeDocument/2006/relationships/hyperlink" Target="https://www.jspsafety.com/products/ASA940061300_Stealth-Coverlite-Clear-lightweight-Overspecs-K-Rated" TargetMode="External"/><Relationship Id="rId36" Type="http://schemas.openxmlformats.org/officeDocument/2006/relationships/hyperlink" Target="https://www.jspsafety.com/products/aeB0300CY000_Sonis-Compact-low-Profile-Mounted-Ear-defenders-31dB-SNR" TargetMode="External"/><Relationship Id="rId49" Type="http://schemas.openxmlformats.org/officeDocument/2006/relationships/hyperlink" Target="https://www.jspsafety.com/products/BHT0030l5000_Force8-Half-Mask-Medium-(Mask-only)" TargetMode="External"/><Relationship Id="rId57" Type="http://schemas.openxmlformats.org/officeDocument/2006/relationships/printerSettings" Target="../printerSettings/printerSettings6.bin"/><Relationship Id="rId10" Type="http://schemas.openxmlformats.org/officeDocument/2006/relationships/hyperlink" Target="https://www.jspsafety.com/products/BGA182206N00_Springfit-435Ml-FFP3-with-Typhoon-Valve-Retail-Ready" TargetMode="External"/><Relationship Id="rId31" Type="http://schemas.openxmlformats.org/officeDocument/2006/relationships/hyperlink" Target="https://www.jspsafety.com/products/aeB0100AY800_Sonis1-Adjustable-Ear-defenders-27dB-SNR-Grey-Green" TargetMode="External"/><Relationship Id="rId44" Type="http://schemas.openxmlformats.org/officeDocument/2006/relationships/hyperlink" Target="https://www.jspsafety.com/products/AdB28A100400_EVOGuard-C2-industrial-Browguard-System" TargetMode="External"/><Relationship Id="rId52" Type="http://schemas.openxmlformats.org/officeDocument/2006/relationships/hyperlink" Target="https://www.jspsafety.com/products/AKE24C600100_EVOGuardC5Max-Electrical-Helmet-Syste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6B275-036D-4E0E-82D0-F9CBBB758392}">
  <sheetPr codeName="Sheet1">
    <tabColor rgb="FF162646"/>
  </sheetPr>
  <dimension ref="A1:O42"/>
  <sheetViews>
    <sheetView tabSelected="1" workbookViewId="0">
      <selection activeCell="G6" sqref="G6:N7"/>
    </sheetView>
  </sheetViews>
  <sheetFormatPr defaultRowHeight="14.6" x14ac:dyDescent="0.4"/>
  <cols>
    <col min="1" max="1" width="50.69140625" customWidth="1"/>
    <col min="15" max="15" width="50.69140625" customWidth="1"/>
  </cols>
  <sheetData>
    <row r="1" spans="1:15" ht="50.15" customHeight="1" x14ac:dyDescent="0.4">
      <c r="A1" s="221"/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3"/>
    </row>
    <row r="2" spans="1:15" ht="50.15" customHeight="1" x14ac:dyDescent="0.4">
      <c r="A2" s="221"/>
      <c r="B2" s="230" t="s">
        <v>209</v>
      </c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1"/>
    </row>
    <row r="3" spans="1:15" ht="18.45" x14ac:dyDescent="0.4">
      <c r="A3" s="221"/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3"/>
    </row>
    <row r="4" spans="1:15" ht="45" customHeight="1" x14ac:dyDescent="0.4">
      <c r="A4" s="221"/>
      <c r="B4" s="228" t="s">
        <v>210</v>
      </c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1"/>
    </row>
    <row r="5" spans="1:15" ht="15" thickBot="1" x14ac:dyDescent="0.4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</row>
    <row r="6" spans="1:15" x14ac:dyDescent="0.4">
      <c r="A6" s="3"/>
      <c r="B6" s="222" t="s">
        <v>207</v>
      </c>
      <c r="C6" s="223"/>
      <c r="D6" s="223"/>
      <c r="E6" s="224"/>
      <c r="F6" s="3"/>
      <c r="G6" s="222" t="s">
        <v>208</v>
      </c>
      <c r="H6" s="223"/>
      <c r="I6" s="223"/>
      <c r="J6" s="223"/>
      <c r="K6" s="223"/>
      <c r="L6" s="223"/>
      <c r="M6" s="223"/>
      <c r="N6" s="224"/>
      <c r="O6" s="3"/>
    </row>
    <row r="7" spans="1:15" ht="15" thickBot="1" x14ac:dyDescent="0.45">
      <c r="A7" s="3"/>
      <c r="B7" s="225"/>
      <c r="C7" s="226"/>
      <c r="D7" s="226"/>
      <c r="E7" s="227"/>
      <c r="F7" s="3"/>
      <c r="G7" s="225"/>
      <c r="H7" s="226"/>
      <c r="I7" s="226"/>
      <c r="J7" s="226"/>
      <c r="K7" s="226"/>
      <c r="L7" s="226"/>
      <c r="M7" s="226"/>
      <c r="N7" s="227"/>
      <c r="O7" s="3"/>
    </row>
    <row r="8" spans="1:15" x14ac:dyDescent="0.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</row>
    <row r="9" spans="1:15" x14ac:dyDescent="0.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</row>
    <row r="10" spans="1:15" x14ac:dyDescent="0.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1:15" x14ac:dyDescent="0.4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</row>
    <row r="12" spans="1:15" x14ac:dyDescent="0.4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</row>
    <row r="13" spans="1:15" x14ac:dyDescent="0.4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</row>
    <row r="14" spans="1:15" x14ac:dyDescent="0.4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</row>
    <row r="15" spans="1:15" x14ac:dyDescent="0.4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</row>
    <row r="16" spans="1:15" x14ac:dyDescent="0.4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</row>
    <row r="17" spans="1:15" x14ac:dyDescent="0.4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</row>
    <row r="18" spans="1:15" x14ac:dyDescent="0.4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</row>
    <row r="19" spans="1:15" x14ac:dyDescent="0.4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</row>
    <row r="20" spans="1:15" x14ac:dyDescent="0.4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</row>
    <row r="21" spans="1:15" x14ac:dyDescent="0.4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</row>
    <row r="22" spans="1:15" x14ac:dyDescent="0.4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</row>
    <row r="23" spans="1:15" x14ac:dyDescent="0.4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</row>
    <row r="24" spans="1:15" x14ac:dyDescent="0.4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</row>
    <row r="25" spans="1:15" x14ac:dyDescent="0.4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</row>
    <row r="26" spans="1:15" x14ac:dyDescent="0.4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</row>
    <row r="27" spans="1:15" x14ac:dyDescent="0.4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</row>
    <row r="28" spans="1:15" x14ac:dyDescent="0.4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</row>
    <row r="29" spans="1:15" x14ac:dyDescent="0.4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</row>
    <row r="30" spans="1:15" x14ac:dyDescent="0.4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</row>
    <row r="31" spans="1:15" x14ac:dyDescent="0.4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</row>
    <row r="32" spans="1:15" x14ac:dyDescent="0.4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</row>
    <row r="33" spans="1:15" x14ac:dyDescent="0.4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</row>
    <row r="34" spans="1:15" x14ac:dyDescent="0.4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</row>
    <row r="35" spans="1:15" x14ac:dyDescent="0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</row>
    <row r="36" spans="1:15" x14ac:dyDescent="0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</row>
    <row r="37" spans="1:15" x14ac:dyDescent="0.4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</row>
    <row r="38" spans="1:15" x14ac:dyDescent="0.4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</row>
    <row r="39" spans="1:15" x14ac:dyDescent="0.4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</row>
    <row r="40" spans="1:15" x14ac:dyDescent="0.4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</row>
    <row r="41" spans="1:15" x14ac:dyDescent="0.4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</row>
    <row r="42" spans="1:15" x14ac:dyDescent="0.4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</row>
  </sheetData>
  <sheetProtection algorithmName="SHA-512" hashValue="lRTiQyFLRC/HiKr/bQx0Pg5i0tni54ImRb7sxqRAtmIyMbL+AThmxRb6XdyeppN4w6oIlxk7/Bkxk3XgO/qZpQ==" saltValue="fLZX3gn070n09YyGsQkHAg==" spinCount="100000" sheet="1" objects="1" scenarios="1" selectLockedCells="1"/>
  <mergeCells count="4">
    <mergeCell ref="B6:E7"/>
    <mergeCell ref="G6:N7"/>
    <mergeCell ref="B4:N4"/>
    <mergeCell ref="B2:N2"/>
  </mergeCells>
  <hyperlinks>
    <hyperlink ref="B6:E7" location="'1 Stand Configurator'!B3" display="1 STAND CONFIGURATOR" xr:uid="{7E95765D-555B-4298-A906-5B8A23909364}"/>
    <hyperlink ref="G6:N7" location="'2 Stand Configurator'!B3" display="2 STAND CONFIGURATOR" xr:uid="{ED0519CE-BFDD-487A-A6E9-14908B3CCB2E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0000"/>
  </sheetPr>
  <dimension ref="A1:AM176"/>
  <sheetViews>
    <sheetView zoomScaleNormal="100" workbookViewId="0">
      <pane xSplit="8" topLeftCell="I1" activePane="topRight" state="frozen"/>
      <selection activeCell="Z34" sqref="Z34"/>
      <selection pane="topRight" activeCell="G7" sqref="G7"/>
    </sheetView>
  </sheetViews>
  <sheetFormatPr defaultRowHeight="14.6" x14ac:dyDescent="0.4"/>
  <cols>
    <col min="1" max="1" width="4" customWidth="1"/>
    <col min="2" max="2" width="15.69140625" style="3" customWidth="1"/>
    <col min="3" max="3" width="12.69140625" style="3" customWidth="1"/>
    <col min="4" max="4" width="2.53515625" style="20" customWidth="1"/>
    <col min="5" max="5" width="6.69140625" customWidth="1"/>
    <col min="6" max="6" width="2.69140625" style="3" hidden="1" customWidth="1"/>
    <col min="7" max="7" width="37.53515625" bestFit="1" customWidth="1"/>
    <col min="8" max="8" width="2.53515625" customWidth="1"/>
    <col min="9" max="10" width="2.69140625" style="19" hidden="1" customWidth="1"/>
    <col min="11" max="12" width="11.69140625" customWidth="1"/>
    <col min="13" max="13" width="11.69140625" hidden="1" customWidth="1"/>
    <col min="14" max="14" width="11.69140625" customWidth="1"/>
    <col min="15" max="15" width="7.69140625" customWidth="1"/>
    <col min="16" max="16" width="4.69140625" customWidth="1"/>
    <col min="17" max="19" width="11.69140625" customWidth="1"/>
    <col min="20" max="20" width="5.69140625" customWidth="1"/>
    <col min="21" max="21" width="3.69140625" customWidth="1"/>
    <col min="25" max="25" width="9.15234375" customWidth="1"/>
    <col min="31" max="31" width="3.69140625" customWidth="1"/>
    <col min="32" max="32" width="2.53515625" customWidth="1"/>
  </cols>
  <sheetData>
    <row r="1" spans="1:39" s="3" customFormat="1" ht="10" customHeight="1" thickBot="1" x14ac:dyDescent="0.45">
      <c r="D1" s="19"/>
      <c r="I1" s="19"/>
      <c r="J1" s="19"/>
    </row>
    <row r="2" spans="1:39" s="3" customFormat="1" ht="10" customHeight="1" thickBot="1" x14ac:dyDescent="0.45">
      <c r="B2" s="91"/>
      <c r="C2" s="92"/>
      <c r="D2" s="105"/>
      <c r="E2" s="92"/>
      <c r="F2" s="92"/>
      <c r="G2" s="92"/>
      <c r="H2" s="92"/>
      <c r="I2" s="105"/>
      <c r="J2" s="105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6"/>
    </row>
    <row r="3" spans="1:39" s="53" customFormat="1" ht="30" customHeight="1" thickBot="1" x14ac:dyDescent="0.45">
      <c r="A3" s="52"/>
      <c r="B3" s="238" t="s">
        <v>202</v>
      </c>
      <c r="C3" s="239"/>
      <c r="D3" s="137">
        <v>1</v>
      </c>
      <c r="E3" s="240" t="s">
        <v>201</v>
      </c>
      <c r="F3" s="241"/>
      <c r="G3" s="242"/>
      <c r="H3" s="108"/>
      <c r="I3" s="109"/>
      <c r="J3" s="109"/>
      <c r="K3" s="243" t="s">
        <v>203</v>
      </c>
      <c r="L3" s="244"/>
      <c r="M3" s="126"/>
      <c r="N3" s="127" t="s">
        <v>192</v>
      </c>
      <c r="O3" s="106"/>
      <c r="P3" s="245" t="s">
        <v>204</v>
      </c>
      <c r="Q3" s="246"/>
      <c r="R3" s="246"/>
      <c r="S3" s="128">
        <v>1</v>
      </c>
      <c r="T3" s="99"/>
      <c r="U3" s="99"/>
      <c r="V3" s="247" t="s">
        <v>205</v>
      </c>
      <c r="W3" s="248"/>
      <c r="X3" s="248"/>
      <c r="Y3" s="248"/>
      <c r="Z3" s="248"/>
      <c r="AA3" s="248"/>
      <c r="AB3" s="248"/>
      <c r="AC3" s="248"/>
      <c r="AD3" s="249"/>
      <c r="AE3" s="97"/>
      <c r="AF3" s="3"/>
      <c r="AG3" s="52"/>
      <c r="AH3" s="52"/>
      <c r="AI3" s="52"/>
      <c r="AJ3" s="52"/>
      <c r="AK3" s="52"/>
      <c r="AL3" s="52"/>
      <c r="AM3" s="52"/>
    </row>
    <row r="4" spans="1:39" ht="10" customHeight="1" thickBot="1" x14ac:dyDescent="0.45">
      <c r="A4" s="3"/>
      <c r="B4" s="93"/>
      <c r="C4" s="94"/>
      <c r="D4" s="106"/>
      <c r="E4" s="94"/>
      <c r="F4" s="94"/>
      <c r="G4" s="94"/>
      <c r="H4" s="94"/>
      <c r="I4" s="106"/>
      <c r="J4" s="106"/>
      <c r="K4" s="94"/>
      <c r="L4" s="94"/>
      <c r="M4" s="94"/>
      <c r="N4" s="106"/>
      <c r="O4" s="106"/>
      <c r="P4" s="94"/>
      <c r="Q4" s="94"/>
      <c r="R4" s="94"/>
      <c r="S4" s="95"/>
      <c r="T4" s="107"/>
      <c r="U4" s="94"/>
      <c r="V4" s="94"/>
      <c r="W4" s="94"/>
      <c r="X4" s="94"/>
      <c r="Y4" s="94"/>
      <c r="Z4" s="94"/>
      <c r="AA4" s="94"/>
      <c r="AB4" s="94"/>
      <c r="AC4" s="94"/>
      <c r="AD4" s="94"/>
      <c r="AE4" s="98"/>
      <c r="AF4" s="3"/>
      <c r="AG4" s="3"/>
      <c r="AH4" s="3"/>
      <c r="AI4" s="3"/>
      <c r="AJ4" s="3"/>
      <c r="AK4" s="3"/>
      <c r="AM4" s="3"/>
    </row>
    <row r="5" spans="1:39" ht="33" customHeight="1" thickBot="1" x14ac:dyDescent="0.45">
      <c r="A5" s="3"/>
      <c r="B5" s="184" t="s">
        <v>53</v>
      </c>
      <c r="C5" s="177" t="s">
        <v>191</v>
      </c>
      <c r="D5" s="178"/>
      <c r="E5" s="179" t="s">
        <v>61</v>
      </c>
      <c r="F5" s="180"/>
      <c r="G5" s="179" t="s">
        <v>0</v>
      </c>
      <c r="H5" s="178"/>
      <c r="I5" s="231" t="s">
        <v>162</v>
      </c>
      <c r="J5" s="232"/>
      <c r="K5" s="181" t="s">
        <v>198</v>
      </c>
      <c r="L5" s="177" t="s">
        <v>195</v>
      </c>
      <c r="M5" s="181" t="s">
        <v>1</v>
      </c>
      <c r="N5" s="181" t="s">
        <v>2</v>
      </c>
      <c r="O5" s="233" t="s">
        <v>200</v>
      </c>
      <c r="P5" s="234"/>
      <c r="Q5" s="181" t="s">
        <v>199</v>
      </c>
      <c r="R5" s="177" t="s">
        <v>156</v>
      </c>
      <c r="S5" s="185" t="s">
        <v>54</v>
      </c>
      <c r="T5" s="3"/>
      <c r="U5" s="235" t="s">
        <v>161</v>
      </c>
      <c r="V5" s="236"/>
      <c r="W5" s="236"/>
      <c r="X5" s="236"/>
      <c r="Y5" s="236"/>
      <c r="Z5" s="236"/>
      <c r="AA5" s="236"/>
      <c r="AB5" s="236"/>
      <c r="AC5" s="236"/>
      <c r="AD5" s="236"/>
      <c r="AE5" s="237"/>
      <c r="AF5" s="3"/>
      <c r="AG5" s="3"/>
      <c r="AH5" s="3"/>
      <c r="AI5" s="3"/>
      <c r="AJ5" s="3"/>
      <c r="AK5" s="3"/>
      <c r="AL5" s="3"/>
      <c r="AM5" s="3"/>
    </row>
    <row r="6" spans="1:39" s="53" customFormat="1" ht="3" customHeight="1" thickBot="1" x14ac:dyDescent="0.45">
      <c r="A6" s="52"/>
      <c r="B6" s="129"/>
      <c r="C6" s="141"/>
      <c r="D6" s="135"/>
      <c r="E6" s="130"/>
      <c r="F6" s="136"/>
      <c r="G6" s="130"/>
      <c r="H6" s="135"/>
      <c r="I6" s="131"/>
      <c r="J6" s="132"/>
      <c r="K6" s="258"/>
      <c r="L6" s="258"/>
      <c r="M6" s="258"/>
      <c r="N6" s="258"/>
      <c r="O6" s="259"/>
      <c r="P6" s="259"/>
      <c r="Q6" s="258"/>
      <c r="R6" s="258"/>
      <c r="S6" s="260"/>
      <c r="T6" s="3"/>
      <c r="U6" s="261"/>
      <c r="V6" s="262"/>
      <c r="W6" s="262"/>
      <c r="X6" s="262"/>
      <c r="Y6" s="262"/>
      <c r="Z6" s="262"/>
      <c r="AA6" s="262"/>
      <c r="AB6" s="262"/>
      <c r="AC6" s="262"/>
      <c r="AD6" s="262"/>
      <c r="AE6" s="263"/>
      <c r="AF6" s="52"/>
      <c r="AG6" s="52"/>
      <c r="AH6" s="52"/>
      <c r="AI6" s="52"/>
      <c r="AJ6" s="52"/>
      <c r="AK6" s="52"/>
      <c r="AL6" s="52"/>
      <c r="AM6" s="52"/>
    </row>
    <row r="7" spans="1:39" ht="15" customHeight="1" x14ac:dyDescent="0.4">
      <c r="A7" s="3"/>
      <c r="B7" s="138" t="str">
        <f>VLOOKUP($G7,'Product List'!$B:$H,2,0)</f>
        <v>ASA790-161-300</v>
      </c>
      <c r="C7" s="142" t="str">
        <f>HYPERLINK(VLOOKUP($G7,'Product List'!$B:$H,3,0),"VIEW")</f>
        <v>VIEW</v>
      </c>
      <c r="D7" s="193" t="str">
        <f>VLOOKUP($G7,'Product List'!$B:$H,4,0)</f>
        <v>RPKE-000-022</v>
      </c>
      <c r="E7" s="14">
        <v>1</v>
      </c>
      <c r="F7" s="23">
        <v>1</v>
      </c>
      <c r="G7" s="54" t="s">
        <v>63</v>
      </c>
      <c r="H7" s="133"/>
      <c r="I7" s="19">
        <f t="shared" ref="I7:I12" si="0">COUNTIF(G$7:G$12,G7)</f>
        <v>1</v>
      </c>
      <c r="J7" s="5">
        <f t="shared" ref="J7:J12" si="1">MATCH(G7,G$7:G$12,0)</f>
        <v>1</v>
      </c>
      <c r="K7" s="101">
        <f>IF($N$3="GBP",VLOOKUP(G7,'Product List'!B:N,10,FALSE),IF($N$3="EUR",VLOOKUP(G7,'Product List'!B:N,11,FALSE),IF($N$3="USD",VLOOKUP(G7,'Product List'!B:N,12,FALSE))))</f>
        <v>5.05</v>
      </c>
      <c r="L7" s="102">
        <f>SUM(K7*(1-S3))</f>
        <v>0</v>
      </c>
      <c r="M7" s="103">
        <f>VLOOKUP($G7,'Product List'!$B:$H,6,0)</f>
        <v>6</v>
      </c>
      <c r="N7" s="152">
        <f>VLOOKUP($G7,'Product List'!$B:$H,7,0)</f>
        <v>10</v>
      </c>
      <c r="O7" s="172">
        <f t="shared" ref="O7:O30" si="2">IF(J7=F7,ROUNDUP(SUM(I7*M7)/N7,0),0)</f>
        <v>1</v>
      </c>
      <c r="P7" s="159"/>
      <c r="Q7" s="165">
        <f t="shared" ref="Q7:Q30" si="3">IFERROR(L7*(N7*O7),0)</f>
        <v>0</v>
      </c>
      <c r="R7" s="104">
        <f>IFERROR(K7*(N7*O7),0)</f>
        <v>50.5</v>
      </c>
      <c r="S7" s="110">
        <f>IFERROR((R7-Q7)/R7,0)</f>
        <v>1</v>
      </c>
      <c r="T7" s="3"/>
      <c r="U7" s="264"/>
      <c r="V7" s="265"/>
      <c r="W7" s="265"/>
      <c r="X7" s="265"/>
      <c r="Y7" s="265"/>
      <c r="Z7" s="265"/>
      <c r="AA7" s="265"/>
      <c r="AB7" s="265"/>
      <c r="AC7" s="265"/>
      <c r="AD7" s="265"/>
      <c r="AE7" s="266"/>
      <c r="AF7" s="3"/>
      <c r="AG7" s="3"/>
      <c r="AH7" s="3"/>
      <c r="AI7" s="3"/>
      <c r="AJ7" s="3"/>
      <c r="AK7" s="3"/>
      <c r="AL7" s="3"/>
      <c r="AM7" s="3"/>
    </row>
    <row r="8" spans="1:39" ht="15" customHeight="1" x14ac:dyDescent="0.4">
      <c r="A8" s="3"/>
      <c r="B8" s="139" t="str">
        <f>VLOOKUP($G8,'Product List'!$B:$H,2,0)</f>
        <v>ASA790-161-200</v>
      </c>
      <c r="C8" s="143" t="str">
        <f>HYPERLINK(VLOOKUP($G8,'Product List'!$B:$H,3,0),"VIEW")</f>
        <v>VIEW</v>
      </c>
      <c r="D8" s="193" t="str">
        <f>VLOOKUP($G8,'Product List'!$B:$H,4,0)</f>
        <v>RPKE-000-023</v>
      </c>
      <c r="E8" s="14">
        <v>2</v>
      </c>
      <c r="F8" s="23">
        <v>2</v>
      </c>
      <c r="G8" s="54" t="s">
        <v>64</v>
      </c>
      <c r="H8" s="133"/>
      <c r="I8" s="19">
        <f t="shared" si="0"/>
        <v>1</v>
      </c>
      <c r="J8" s="5">
        <f t="shared" si="1"/>
        <v>2</v>
      </c>
      <c r="K8" s="65">
        <f>IF($N$3="GBP",VLOOKUP(G8,'Product List'!B:N,10,FALSE),IF($N$3="EUR",VLOOKUP(G8,'Product List'!B:N,11,FALSE),IF($N$3="USD",VLOOKUP(G8,'Product List'!B:N,12,FALSE))))</f>
        <v>5.05</v>
      </c>
      <c r="L8" s="64">
        <f>SUM(K8*(1-S3))</f>
        <v>0</v>
      </c>
      <c r="M8" s="38">
        <f>VLOOKUP($G8,'Product List'!$B:$H,6,0)</f>
        <v>6</v>
      </c>
      <c r="N8" s="153">
        <f>VLOOKUP($G8,'Product List'!$B:$H,7,0)</f>
        <v>10</v>
      </c>
      <c r="O8" s="172">
        <f t="shared" si="2"/>
        <v>1</v>
      </c>
      <c r="P8" s="159"/>
      <c r="Q8" s="166">
        <f t="shared" si="3"/>
        <v>0</v>
      </c>
      <c r="R8" s="104">
        <f t="shared" ref="R8:R30" si="4">IFERROR(K8*(N8*O8),0)</f>
        <v>50.5</v>
      </c>
      <c r="S8" s="111">
        <f t="shared" ref="S8:S30" si="5">IFERROR((R8-Q8)/R8,0)</f>
        <v>1</v>
      </c>
      <c r="T8" s="3"/>
      <c r="U8" s="267"/>
      <c r="V8" s="268"/>
      <c r="W8" s="268"/>
      <c r="X8" s="268"/>
      <c r="Y8" s="268"/>
      <c r="Z8" s="268"/>
      <c r="AA8" s="268"/>
      <c r="AB8" s="268"/>
      <c r="AC8" s="268"/>
      <c r="AD8" s="268"/>
      <c r="AE8" s="269"/>
      <c r="AF8" s="3"/>
      <c r="AG8" s="3"/>
      <c r="AH8" s="3"/>
      <c r="AI8" s="3"/>
      <c r="AJ8" s="3"/>
      <c r="AK8" s="3"/>
      <c r="AL8" s="3"/>
      <c r="AM8" s="3"/>
    </row>
    <row r="9" spans="1:39" ht="15" customHeight="1" x14ac:dyDescent="0.4">
      <c r="A9" s="3"/>
      <c r="B9" s="139" t="str">
        <f>VLOOKUP($G9,'Product List'!$B:$H,2,0)</f>
        <v>ASA790-166-400</v>
      </c>
      <c r="C9" s="143" t="str">
        <f>HYPERLINK(VLOOKUP($G9,'Product List'!$B:$H,3,0),"VIEW")</f>
        <v>VIEW</v>
      </c>
      <c r="D9" s="193" t="str">
        <f>VLOOKUP($G9,'Product List'!$B:$H,4,0)</f>
        <v>RPKE-000-024</v>
      </c>
      <c r="E9" s="14">
        <v>3</v>
      </c>
      <c r="F9" s="23">
        <v>3</v>
      </c>
      <c r="G9" s="54" t="s">
        <v>65</v>
      </c>
      <c r="H9" s="133"/>
      <c r="I9" s="19">
        <f t="shared" si="0"/>
        <v>1</v>
      </c>
      <c r="J9" s="5">
        <f t="shared" si="1"/>
        <v>3</v>
      </c>
      <c r="K9" s="65">
        <f>IF($N$3="GBP",VLOOKUP(G9,'Product List'!B:N,10,FALSE),IF($N$3="EUR",VLOOKUP(G9,'Product List'!B:N,11,FALSE),IF($N$3="USD",VLOOKUP(G9,'Product List'!B:N,12,FALSE))))</f>
        <v>5.05</v>
      </c>
      <c r="L9" s="64">
        <f>SUM(K9*(1-S3))</f>
        <v>0</v>
      </c>
      <c r="M9" s="38">
        <f>VLOOKUP($G9,'Product List'!$B:$H,6,0)</f>
        <v>6</v>
      </c>
      <c r="N9" s="153">
        <f>VLOOKUP($G9,'Product List'!$B:$H,7,0)</f>
        <v>10</v>
      </c>
      <c r="O9" s="172">
        <f t="shared" si="2"/>
        <v>1</v>
      </c>
      <c r="P9" s="159"/>
      <c r="Q9" s="166">
        <f t="shared" si="3"/>
        <v>0</v>
      </c>
      <c r="R9" s="104">
        <f t="shared" si="4"/>
        <v>50.5</v>
      </c>
      <c r="S9" s="111">
        <f t="shared" si="5"/>
        <v>1</v>
      </c>
      <c r="T9" s="3"/>
      <c r="U9" s="267"/>
      <c r="V9" s="268"/>
      <c r="W9" s="268"/>
      <c r="X9" s="268"/>
      <c r="Y9" s="268"/>
      <c r="Z9" s="268"/>
      <c r="AA9" s="268"/>
      <c r="AB9" s="268"/>
      <c r="AC9" s="268"/>
      <c r="AD9" s="268"/>
      <c r="AE9" s="269"/>
      <c r="AF9" s="3"/>
      <c r="AG9" s="3"/>
      <c r="AH9" s="3"/>
      <c r="AI9" s="3"/>
      <c r="AJ9" s="3"/>
      <c r="AK9" s="3"/>
      <c r="AL9" s="3"/>
      <c r="AM9" s="3"/>
    </row>
    <row r="10" spans="1:39" ht="15" customHeight="1" x14ac:dyDescent="0.4">
      <c r="A10" s="3"/>
      <c r="B10" s="139" t="str">
        <f>VLOOKUP($G10,'Product List'!$B:$H,2,0)</f>
        <v>ASA920-161-300</v>
      </c>
      <c r="C10" s="143" t="str">
        <f>HYPERLINK(VLOOKUP($G10,'Product List'!$B:$H,3,0),"VIEW")</f>
        <v>VIEW</v>
      </c>
      <c r="D10" s="193" t="str">
        <f>VLOOKUP($G10,'Product List'!$B:$H,4,0)</f>
        <v>RPKE-000-026</v>
      </c>
      <c r="E10" s="14">
        <v>4</v>
      </c>
      <c r="F10" s="23">
        <v>4</v>
      </c>
      <c r="G10" s="54" t="s">
        <v>76</v>
      </c>
      <c r="H10" s="133"/>
      <c r="I10" s="19">
        <f t="shared" si="0"/>
        <v>1</v>
      </c>
      <c r="J10" s="5">
        <f t="shared" si="1"/>
        <v>4</v>
      </c>
      <c r="K10" s="65">
        <f>IF($N$3="GBP",VLOOKUP(G10,'Product List'!B:N,10,FALSE),IF($N$3="EUR",VLOOKUP(G10,'Product List'!B:N,11,FALSE),IF($N$3="USD",VLOOKUP(G10,'Product List'!B:N,12,FALSE))))</f>
        <v>3.13</v>
      </c>
      <c r="L10" s="64">
        <f>SUM(K10*(1-S3))</f>
        <v>0</v>
      </c>
      <c r="M10" s="38">
        <f>VLOOKUP($G10,'Product List'!$B:$H,6,0)</f>
        <v>6</v>
      </c>
      <c r="N10" s="153">
        <f>VLOOKUP($G10,'Product List'!$B:$H,7,0)</f>
        <v>10</v>
      </c>
      <c r="O10" s="172">
        <f t="shared" si="2"/>
        <v>1</v>
      </c>
      <c r="P10" s="159"/>
      <c r="Q10" s="166">
        <f t="shared" si="3"/>
        <v>0</v>
      </c>
      <c r="R10" s="104">
        <f t="shared" si="4"/>
        <v>31.299999999999997</v>
      </c>
      <c r="S10" s="111">
        <f t="shared" si="5"/>
        <v>1</v>
      </c>
      <c r="T10" s="3"/>
      <c r="U10" s="267"/>
      <c r="V10" s="268"/>
      <c r="W10" s="268"/>
      <c r="X10" s="268"/>
      <c r="Y10" s="268"/>
      <c r="Z10" s="268"/>
      <c r="AA10" s="268"/>
      <c r="AB10" s="268"/>
      <c r="AC10" s="268"/>
      <c r="AD10" s="268"/>
      <c r="AE10" s="269"/>
      <c r="AF10" s="3"/>
      <c r="AG10" s="3"/>
      <c r="AH10" s="3"/>
      <c r="AI10" s="3"/>
      <c r="AJ10" s="3"/>
      <c r="AK10" s="3"/>
      <c r="AL10" s="3"/>
      <c r="AM10" s="3"/>
    </row>
    <row r="11" spans="1:39" ht="15" customHeight="1" x14ac:dyDescent="0.4">
      <c r="A11" s="3"/>
      <c r="B11" s="139" t="str">
        <f>VLOOKUP($G11,'Product List'!$B:$H,2,0)</f>
        <v>ASA920-161-200</v>
      </c>
      <c r="C11" s="143" t="str">
        <f>HYPERLINK(VLOOKUP($G11,'Product List'!$B:$H,3,0),"VIEW")</f>
        <v>VIEW</v>
      </c>
      <c r="D11" s="193" t="str">
        <f>VLOOKUP($G11,'Product List'!$B:$H,4,0)</f>
        <v>RPKE-000-027</v>
      </c>
      <c r="E11" s="14">
        <v>5</v>
      </c>
      <c r="F11" s="23">
        <v>5</v>
      </c>
      <c r="G11" s="54" t="s">
        <v>75</v>
      </c>
      <c r="H11" s="133"/>
      <c r="I11" s="19">
        <f t="shared" si="0"/>
        <v>1</v>
      </c>
      <c r="J11" s="5">
        <f t="shared" si="1"/>
        <v>5</v>
      </c>
      <c r="K11" s="65">
        <f>IF($N$3="GBP",VLOOKUP(G11,'Product List'!B:N,10,FALSE),IF($N$3="EUR",VLOOKUP(G11,'Product List'!B:N,11,FALSE),IF($N$3="USD",VLOOKUP(G11,'Product List'!B:N,12,FALSE))))</f>
        <v>3.13</v>
      </c>
      <c r="L11" s="64">
        <f>SUM(K11*(1-S3))</f>
        <v>0</v>
      </c>
      <c r="M11" s="38">
        <f>VLOOKUP($G11,'Product List'!$B:$H,6,0)</f>
        <v>6</v>
      </c>
      <c r="N11" s="153">
        <f>VLOOKUP($G11,'Product List'!$B:$H,7,0)</f>
        <v>10</v>
      </c>
      <c r="O11" s="172">
        <f t="shared" si="2"/>
        <v>1</v>
      </c>
      <c r="P11" s="159"/>
      <c r="Q11" s="166">
        <f t="shared" si="3"/>
        <v>0</v>
      </c>
      <c r="R11" s="104">
        <f t="shared" si="4"/>
        <v>31.299999999999997</v>
      </c>
      <c r="S11" s="111">
        <f t="shared" si="5"/>
        <v>1</v>
      </c>
      <c r="T11" s="3"/>
      <c r="U11" s="267"/>
      <c r="V11" s="268"/>
      <c r="W11" s="268"/>
      <c r="X11" s="268"/>
      <c r="Y11" s="268"/>
      <c r="Z11" s="268"/>
      <c r="AA11" s="268"/>
      <c r="AB11" s="268"/>
      <c r="AC11" s="268"/>
      <c r="AD11" s="268"/>
      <c r="AE11" s="269"/>
      <c r="AF11" s="3"/>
      <c r="AG11" s="3"/>
      <c r="AH11" s="3"/>
      <c r="AI11" s="3"/>
      <c r="AJ11" s="3"/>
      <c r="AK11" s="3"/>
      <c r="AL11" s="3"/>
      <c r="AM11" s="3"/>
    </row>
    <row r="12" spans="1:39" ht="15" customHeight="1" x14ac:dyDescent="0.4">
      <c r="A12" s="3"/>
      <c r="B12" s="139" t="str">
        <f>VLOOKUP($G12,'Product List'!$B:$H,2,0)</f>
        <v>ASA920-163-000</v>
      </c>
      <c r="C12" s="143" t="str">
        <f>HYPERLINK(VLOOKUP($G12,'Product List'!$B:$H,3,0),"VIEW")</f>
        <v>VIEW</v>
      </c>
      <c r="D12" s="193" t="str">
        <f>VLOOKUP($G12,'Product List'!$B:$H,4,0)</f>
        <v>RPKE-000-028</v>
      </c>
      <c r="E12" s="14">
        <v>6</v>
      </c>
      <c r="F12" s="23">
        <v>6</v>
      </c>
      <c r="G12" s="54" t="s">
        <v>77</v>
      </c>
      <c r="H12" s="133"/>
      <c r="I12" s="19">
        <f t="shared" si="0"/>
        <v>1</v>
      </c>
      <c r="J12" s="5">
        <f t="shared" si="1"/>
        <v>6</v>
      </c>
      <c r="K12" s="65">
        <f>IF($N$3="GBP",VLOOKUP(G12,'Product List'!B:N,10,FALSE),IF($N$3="EUR",VLOOKUP(G12,'Product List'!B:N,11,FALSE),IF($N$3="USD",VLOOKUP(G12,'Product List'!B:N,12,FALSE))))</f>
        <v>3.13</v>
      </c>
      <c r="L12" s="64">
        <f>SUM(K12*(1-S3))</f>
        <v>0</v>
      </c>
      <c r="M12" s="38">
        <f>VLOOKUP($G12,'Product List'!$B:$H,6,0)</f>
        <v>6</v>
      </c>
      <c r="N12" s="153">
        <f>VLOOKUP($G12,'Product List'!$B:$H,7,0)</f>
        <v>10</v>
      </c>
      <c r="O12" s="172">
        <f t="shared" si="2"/>
        <v>1</v>
      </c>
      <c r="P12" s="159"/>
      <c r="Q12" s="166">
        <f t="shared" si="3"/>
        <v>0</v>
      </c>
      <c r="R12" s="104">
        <f t="shared" si="4"/>
        <v>31.299999999999997</v>
      </c>
      <c r="S12" s="111">
        <f t="shared" si="5"/>
        <v>1</v>
      </c>
      <c r="T12" s="3"/>
      <c r="U12" s="267"/>
      <c r="V12" s="268"/>
      <c r="W12" s="268"/>
      <c r="X12" s="268"/>
      <c r="Y12" s="268"/>
      <c r="Z12" s="268"/>
      <c r="AA12" s="268"/>
      <c r="AB12" s="268"/>
      <c r="AC12" s="268"/>
      <c r="AD12" s="268"/>
      <c r="AE12" s="269"/>
      <c r="AF12" s="3"/>
      <c r="AG12" s="3"/>
      <c r="AH12" s="3"/>
      <c r="AI12" s="3"/>
      <c r="AJ12" s="3"/>
      <c r="AK12" s="3"/>
      <c r="AL12" s="3"/>
      <c r="AM12" s="3"/>
    </row>
    <row r="13" spans="1:39" ht="15" customHeight="1" x14ac:dyDescent="0.4">
      <c r="A13" s="3"/>
      <c r="B13" s="139" t="str">
        <f>VLOOKUP($G13,'Product List'!$B:$H,2,0)</f>
        <v>AGM020-623-000</v>
      </c>
      <c r="C13" s="143" t="str">
        <f>HYPERLINK(VLOOKUP($G13,'Product List'!$B:$H,3,0),"VIEW")</f>
        <v>VIEW</v>
      </c>
      <c r="D13" s="193" t="str">
        <f>VLOOKUP($G13,'Product List'!$B:$H,4,0)</f>
        <v>RPKE-000-031</v>
      </c>
      <c r="E13" s="30">
        <v>7</v>
      </c>
      <c r="F13" s="23">
        <v>1</v>
      </c>
      <c r="G13" s="55" t="s">
        <v>6</v>
      </c>
      <c r="H13" s="133"/>
      <c r="I13" s="19">
        <f>COUNTIF(G$13:G$13,G13)</f>
        <v>1</v>
      </c>
      <c r="J13" s="5">
        <f>MATCH(G13,G$13:G$13,0)</f>
        <v>1</v>
      </c>
      <c r="K13" s="65">
        <f>IF($N$3="GBP",VLOOKUP(G13,'Product List'!B:N,10,FALSE),IF($N$3="EUR",VLOOKUP(G13,'Product List'!B:N,11,FALSE),IF($N$3="USD",VLOOKUP(G13,'Product List'!B:N,12,FALSE))))</f>
        <v>12.94</v>
      </c>
      <c r="L13" s="64">
        <f>SUM(K13*(1-S3))</f>
        <v>0</v>
      </c>
      <c r="M13" s="38">
        <f>VLOOKUP($G13,'Product List'!$B:$H,6,0)</f>
        <v>4</v>
      </c>
      <c r="N13" s="153">
        <f>VLOOKUP($G13,'Product List'!$B:$H,7,0)</f>
        <v>10</v>
      </c>
      <c r="O13" s="172">
        <f t="shared" si="2"/>
        <v>1</v>
      </c>
      <c r="P13" s="159"/>
      <c r="Q13" s="166">
        <f t="shared" si="3"/>
        <v>0</v>
      </c>
      <c r="R13" s="104">
        <f t="shared" si="4"/>
        <v>129.4</v>
      </c>
      <c r="S13" s="111">
        <f t="shared" si="5"/>
        <v>1</v>
      </c>
      <c r="T13" s="3"/>
      <c r="U13" s="267"/>
      <c r="V13" s="268"/>
      <c r="W13" s="268"/>
      <c r="X13" s="268"/>
      <c r="Y13" s="268"/>
      <c r="Z13" s="268"/>
      <c r="AA13" s="268"/>
      <c r="AB13" s="268"/>
      <c r="AC13" s="268"/>
      <c r="AD13" s="268"/>
      <c r="AE13" s="269"/>
      <c r="AF13" s="3"/>
      <c r="AG13" s="3"/>
      <c r="AH13" s="3"/>
      <c r="AI13" s="3"/>
      <c r="AJ13" s="3"/>
      <c r="AK13" s="3"/>
      <c r="AL13" s="3"/>
      <c r="AM13" s="3"/>
    </row>
    <row r="14" spans="1:39" ht="15" customHeight="1" x14ac:dyDescent="0.4">
      <c r="A14" s="21"/>
      <c r="B14" s="140" t="str">
        <f>VLOOKUP($G14,'Product List'!$B:$H,2,0)</f>
        <v>AEE090-070-21X</v>
      </c>
      <c r="C14" s="144" t="str">
        <f>HYPERLINK(VLOOKUP($G14,'Product List'!$B:$H,3,0),"VIEW")</f>
        <v>VIEW</v>
      </c>
      <c r="D14" s="193" t="str">
        <f>VLOOKUP($G14,'Product List'!$B:$H,4,0)</f>
        <v>RPKE-000-039</v>
      </c>
      <c r="E14" s="15">
        <v>8</v>
      </c>
      <c r="F14" s="23">
        <v>1</v>
      </c>
      <c r="G14" s="56" t="s">
        <v>13</v>
      </c>
      <c r="H14" s="133"/>
      <c r="I14" s="19">
        <f>COUNTIF(G$14:G$16,G14)</f>
        <v>1</v>
      </c>
      <c r="J14" s="5">
        <f>MATCH(G14,G$14:G$16,0)</f>
        <v>1</v>
      </c>
      <c r="K14" s="67">
        <f>IF($N$3="GBP",VLOOKUP(G14,'Product List'!B:N,10,FALSE),IF($N$3="EUR",VLOOKUP(G14,'Product List'!B:N,11,FALSE),IF($N$3="USD",VLOOKUP(G14,'Product List'!B:N,12,FALSE))))</f>
        <v>3.72</v>
      </c>
      <c r="L14" s="66">
        <f>SUM(K14*(1-S3))</f>
        <v>0</v>
      </c>
      <c r="M14" s="38">
        <f>VLOOKUP($G14,'Product List'!$B:$H,6,0)</f>
        <v>20</v>
      </c>
      <c r="N14" s="154">
        <f>VLOOKUP($G14,'Product List'!$B:$H,7,0)</f>
        <v>40</v>
      </c>
      <c r="O14" s="173">
        <f t="shared" si="2"/>
        <v>1</v>
      </c>
      <c r="P14" s="160"/>
      <c r="Q14" s="167">
        <f t="shared" si="3"/>
        <v>0</v>
      </c>
      <c r="R14" s="213">
        <f t="shared" si="4"/>
        <v>148.80000000000001</v>
      </c>
      <c r="S14" s="112">
        <f t="shared" si="5"/>
        <v>1</v>
      </c>
      <c r="T14" s="3"/>
      <c r="U14" s="267"/>
      <c r="V14" s="268"/>
      <c r="W14" s="268"/>
      <c r="X14" s="268"/>
      <c r="Y14" s="268"/>
      <c r="Z14" s="268"/>
      <c r="AA14" s="268"/>
      <c r="AB14" s="268"/>
      <c r="AC14" s="268"/>
      <c r="AD14" s="268"/>
      <c r="AE14" s="269"/>
      <c r="AF14" s="3"/>
      <c r="AG14" s="3"/>
      <c r="AH14" s="3"/>
      <c r="AI14" s="3"/>
      <c r="AJ14" s="3"/>
      <c r="AK14" s="3"/>
      <c r="AL14" s="3"/>
      <c r="AM14" s="3"/>
    </row>
    <row r="15" spans="1:39" ht="15" customHeight="1" x14ac:dyDescent="0.4">
      <c r="A15" s="3"/>
      <c r="B15" s="140" t="str">
        <f>VLOOKUP($G15,'Product List'!$B:$H,2,0)</f>
        <v>AEB030-0AY-000</v>
      </c>
      <c r="C15" s="144" t="str">
        <f>HYPERLINK(VLOOKUP($G15,'Product List'!$B:$H,3,0),"VIEW")</f>
        <v>VIEW</v>
      </c>
      <c r="D15" s="193" t="str">
        <f>VLOOKUP($G15,'Product List'!$B:$H,4,0)</f>
        <v>RPKE-000-034</v>
      </c>
      <c r="E15" s="15">
        <v>9</v>
      </c>
      <c r="F15" s="23">
        <v>2</v>
      </c>
      <c r="G15" s="56" t="s">
        <v>8</v>
      </c>
      <c r="H15" s="133"/>
      <c r="I15" s="19">
        <f>COUNTIF(G$14:G$16,G15)</f>
        <v>2</v>
      </c>
      <c r="J15" s="5">
        <f>MATCH(G15,G$14:G$16,0)</f>
        <v>2</v>
      </c>
      <c r="K15" s="67">
        <f>IF($N$3="GBP",VLOOKUP(G15,'Product List'!B:N,10,FALSE),IF($N$3="EUR",VLOOKUP(G15,'Product List'!B:N,11,FALSE),IF($N$3="USD",VLOOKUP(G15,'Product List'!B:N,12,FALSE))))</f>
        <v>30.45</v>
      </c>
      <c r="L15" s="66">
        <f>SUM(K15*(1-S3))</f>
        <v>0</v>
      </c>
      <c r="M15" s="38">
        <f>VLOOKUP($G15,'Product List'!$B:$H,6,0)</f>
        <v>3</v>
      </c>
      <c r="N15" s="154">
        <f>VLOOKUP($G15,'Product List'!$B:$H,7,0)</f>
        <v>10</v>
      </c>
      <c r="O15" s="173">
        <f t="shared" si="2"/>
        <v>1</v>
      </c>
      <c r="P15" s="160"/>
      <c r="Q15" s="167">
        <f t="shared" si="3"/>
        <v>0</v>
      </c>
      <c r="R15" s="213">
        <f t="shared" si="4"/>
        <v>304.5</v>
      </c>
      <c r="S15" s="112">
        <f t="shared" si="5"/>
        <v>1</v>
      </c>
      <c r="T15" s="3"/>
      <c r="U15" s="267"/>
      <c r="V15" s="268"/>
      <c r="W15" s="268"/>
      <c r="X15" s="268"/>
      <c r="Y15" s="268"/>
      <c r="Z15" s="268"/>
      <c r="AA15" s="268"/>
      <c r="AB15" s="268"/>
      <c r="AC15" s="268"/>
      <c r="AD15" s="268"/>
      <c r="AE15" s="269"/>
      <c r="AF15" s="3"/>
      <c r="AG15" s="3"/>
      <c r="AH15" s="3"/>
      <c r="AI15" s="3"/>
      <c r="AJ15" s="3"/>
      <c r="AK15" s="3"/>
      <c r="AL15" s="3"/>
      <c r="AM15" s="3"/>
    </row>
    <row r="16" spans="1:39" ht="15" customHeight="1" x14ac:dyDescent="0.4">
      <c r="A16" s="3"/>
      <c r="B16" s="140" t="str">
        <f>VLOOKUP($G16,'Product List'!$B:$H,2,0)</f>
        <v>AEB030-0AY-000</v>
      </c>
      <c r="C16" s="144" t="str">
        <f>HYPERLINK(VLOOKUP($G16,'Product List'!$B:$H,3,0),"VIEW")</f>
        <v>VIEW</v>
      </c>
      <c r="D16" s="193" t="str">
        <f>VLOOKUP($G16,'Product List'!$B:$H,4,0)</f>
        <v>RPKE-000-034</v>
      </c>
      <c r="E16" s="15">
        <v>10</v>
      </c>
      <c r="F16" s="23">
        <v>3</v>
      </c>
      <c r="G16" s="56" t="s">
        <v>8</v>
      </c>
      <c r="H16" s="133"/>
      <c r="I16" s="19">
        <f>COUNTIF(G$14:G$16,G16)</f>
        <v>2</v>
      </c>
      <c r="J16" s="5">
        <f>MATCH(G16,G$14:G$16,0)</f>
        <v>2</v>
      </c>
      <c r="K16" s="67">
        <f>IF($N$3="GBP",VLOOKUP(G16,'Product List'!B:N,10,FALSE),IF($N$3="EUR",VLOOKUP(G16,'Product List'!B:N,11,FALSE),IF($N$3="USD",VLOOKUP(G16,'Product List'!B:N,12,FALSE))))</f>
        <v>30.45</v>
      </c>
      <c r="L16" s="66">
        <f>SUM(K16*(1-S3))</f>
        <v>0</v>
      </c>
      <c r="M16" s="38">
        <f>VLOOKUP($G16,'Product List'!$B:$H,6,0)</f>
        <v>3</v>
      </c>
      <c r="N16" s="154">
        <f>VLOOKUP($G16,'Product List'!$B:$H,7,0)</f>
        <v>10</v>
      </c>
      <c r="O16" s="173">
        <f t="shared" si="2"/>
        <v>0</v>
      </c>
      <c r="P16" s="160"/>
      <c r="Q16" s="167">
        <f t="shared" si="3"/>
        <v>0</v>
      </c>
      <c r="R16" s="213">
        <f t="shared" si="4"/>
        <v>0</v>
      </c>
      <c r="S16" s="112">
        <f t="shared" si="5"/>
        <v>0</v>
      </c>
      <c r="T16" s="3"/>
      <c r="U16" s="267"/>
      <c r="V16" s="268"/>
      <c r="W16" s="268"/>
      <c r="X16" s="268"/>
      <c r="Y16" s="268"/>
      <c r="Z16" s="268"/>
      <c r="AA16" s="268"/>
      <c r="AB16" s="268"/>
      <c r="AC16" s="268"/>
      <c r="AD16" s="268"/>
      <c r="AE16" s="269"/>
      <c r="AF16" s="3"/>
      <c r="AG16" s="3"/>
      <c r="AH16" s="3"/>
      <c r="AI16" s="3"/>
      <c r="AJ16" s="3"/>
      <c r="AK16" s="3"/>
      <c r="AL16" s="3"/>
      <c r="AM16" s="3"/>
    </row>
    <row r="17" spans="1:39" ht="15" customHeight="1" x14ac:dyDescent="0.4">
      <c r="A17" s="3"/>
      <c r="B17" s="145" t="str">
        <f>VLOOKUP($G17,'Product List'!$B:$H,2,0)</f>
        <v>AAF000-001-100</v>
      </c>
      <c r="C17" s="146" t="str">
        <f>HYPERLINK(VLOOKUP($G17,'Product List'!$B:$H,3,0),"VIEW")</f>
        <v>VIEW</v>
      </c>
      <c r="D17" s="193" t="str">
        <f>VLOOKUP($G17,'Product List'!$B:$H,4,0)</f>
        <v>RPKE-000-005</v>
      </c>
      <c r="E17" s="16">
        <v>11</v>
      </c>
      <c r="F17" s="23">
        <v>1</v>
      </c>
      <c r="G17" s="57" t="s">
        <v>3</v>
      </c>
      <c r="H17" s="133"/>
      <c r="I17" s="19">
        <f>COUNTIF(G$17:G$18,G17)</f>
        <v>1</v>
      </c>
      <c r="J17" s="5">
        <f>MATCH(G17,G$17:G$18,0)</f>
        <v>1</v>
      </c>
      <c r="K17" s="70">
        <f>IF($N$3="GBP",VLOOKUP(G17,'Product List'!B:N,10,FALSE),IF($N$3="EUR",VLOOKUP(G17,'Product List'!B:N,11,FALSE),IF($N$3="USD",VLOOKUP(G17,'Product List'!B:N,12,FALSE))))</f>
        <v>29.09</v>
      </c>
      <c r="L17" s="69">
        <f>SUM(K17*(1-S3))</f>
        <v>0</v>
      </c>
      <c r="M17" s="38">
        <f>VLOOKUP($G17,'Product List'!$B:$H,6,0)</f>
        <v>10</v>
      </c>
      <c r="N17" s="155">
        <f>VLOOKUP($G17,'Product List'!$B:$H,7,0)</f>
        <v>20</v>
      </c>
      <c r="O17" s="174">
        <f t="shared" si="2"/>
        <v>1</v>
      </c>
      <c r="P17" s="161"/>
      <c r="Q17" s="168">
        <f t="shared" si="3"/>
        <v>0</v>
      </c>
      <c r="R17" s="215">
        <f t="shared" si="4"/>
        <v>581.79999999999995</v>
      </c>
      <c r="S17" s="114">
        <f t="shared" si="5"/>
        <v>1</v>
      </c>
      <c r="T17" s="3"/>
      <c r="U17" s="267"/>
      <c r="V17" s="268"/>
      <c r="W17" s="268"/>
      <c r="X17" s="268"/>
      <c r="Y17" s="268"/>
      <c r="Z17" s="268"/>
      <c r="AA17" s="268"/>
      <c r="AB17" s="268"/>
      <c r="AC17" s="268"/>
      <c r="AD17" s="268"/>
      <c r="AE17" s="269"/>
      <c r="AF17" s="3"/>
      <c r="AG17" s="3"/>
      <c r="AH17" s="3"/>
      <c r="AI17" s="3"/>
      <c r="AJ17" s="3"/>
      <c r="AK17" s="3"/>
      <c r="AL17" s="3"/>
      <c r="AM17" s="3"/>
    </row>
    <row r="18" spans="1:39" ht="15" customHeight="1" x14ac:dyDescent="0.4">
      <c r="A18" s="3"/>
      <c r="B18" s="145" t="str">
        <f>VLOOKUP($G18,'Product List'!$B:$H,2,0)</f>
        <v>AJE030-000-100</v>
      </c>
      <c r="C18" s="146" t="str">
        <f>HYPERLINK(VLOOKUP($G18,'Product List'!$B:$H,3,0),"VIEW")</f>
        <v>VIEW</v>
      </c>
      <c r="D18" s="193" t="str">
        <f>VLOOKUP($G18,'Product List'!$B:$H,4,0)</f>
        <v>RPKE-000-003</v>
      </c>
      <c r="E18" s="16">
        <v>12</v>
      </c>
      <c r="F18" s="23">
        <v>2</v>
      </c>
      <c r="G18" s="57" t="s">
        <v>83</v>
      </c>
      <c r="H18" s="133"/>
      <c r="I18" s="19">
        <f>COUNTIF(G$17:G$18,G18)</f>
        <v>1</v>
      </c>
      <c r="J18" s="5">
        <f>MATCH(G18,G$17:G$18,0)</f>
        <v>2</v>
      </c>
      <c r="K18" s="70">
        <f>IF($N$3="GBP",VLOOKUP(G18,'Product List'!B:N,10,FALSE),IF($N$3="EUR",VLOOKUP(G18,'Product List'!B:N,11,FALSE),IF($N$3="USD",VLOOKUP(G18,'Product List'!B:N,12,FALSE))))</f>
        <v>8.18</v>
      </c>
      <c r="L18" s="69">
        <f>SUM(K18*(1-S3))</f>
        <v>0</v>
      </c>
      <c r="M18" s="38">
        <f>VLOOKUP($G18,'Product List'!$B:$H,6,0)</f>
        <v>5</v>
      </c>
      <c r="N18" s="155">
        <f>VLOOKUP($G18,'Product List'!$B:$H,7,0)</f>
        <v>10</v>
      </c>
      <c r="O18" s="174">
        <f t="shared" si="2"/>
        <v>1</v>
      </c>
      <c r="P18" s="161"/>
      <c r="Q18" s="168">
        <f t="shared" si="3"/>
        <v>0</v>
      </c>
      <c r="R18" s="215">
        <f t="shared" si="4"/>
        <v>81.8</v>
      </c>
      <c r="S18" s="114">
        <f t="shared" si="5"/>
        <v>1</v>
      </c>
      <c r="T18" s="3"/>
      <c r="U18" s="267"/>
      <c r="V18" s="268"/>
      <c r="W18" s="268"/>
      <c r="X18" s="268"/>
      <c r="Y18" s="268"/>
      <c r="Z18" s="268"/>
      <c r="AA18" s="268"/>
      <c r="AB18" s="268"/>
      <c r="AC18" s="268"/>
      <c r="AD18" s="268"/>
      <c r="AE18" s="269"/>
      <c r="AF18" s="3"/>
      <c r="AG18" s="3"/>
      <c r="AH18" s="3"/>
      <c r="AI18" s="3"/>
      <c r="AJ18" s="3"/>
      <c r="AK18" s="3"/>
      <c r="AL18" s="3"/>
      <c r="AM18" s="3"/>
    </row>
    <row r="19" spans="1:39" ht="15" customHeight="1" x14ac:dyDescent="0.4">
      <c r="A19" s="3"/>
      <c r="B19" s="147" t="str">
        <f>VLOOKUP($G19,'Product List'!$B:$H,2,0)</f>
        <v>BGA172-202-N00</v>
      </c>
      <c r="C19" s="148" t="str">
        <f>HYPERLINK(VLOOKUP($G19,'Product List'!$B:$H,3,0),"VIEW")</f>
        <v>VIEW</v>
      </c>
      <c r="D19" s="193" t="str">
        <f>VLOOKUP($G19,'Product List'!$B:$H,4,0)</f>
        <v>RPKE-000-008</v>
      </c>
      <c r="E19" s="17">
        <v>13</v>
      </c>
      <c r="F19" s="23">
        <v>1</v>
      </c>
      <c r="G19" s="58" t="s">
        <v>67</v>
      </c>
      <c r="H19" s="133"/>
      <c r="I19" s="19">
        <f>COUNTIF(G$19:G$22,G19)</f>
        <v>1</v>
      </c>
      <c r="J19" s="5">
        <f>MATCH(G19,G$19:G$22,0)</f>
        <v>1</v>
      </c>
      <c r="K19" s="72">
        <f>IF($N$3="GBP",VLOOKUP(G19,'Product List'!B:N,10,FALSE),IF($N$3="EUR",VLOOKUP(G19,'Product List'!B:N,11,FALSE),IF($N$3="USD",VLOOKUP(G19,'Product List'!B:N,12,FALSE))))</f>
        <v>2.15</v>
      </c>
      <c r="L19" s="71">
        <f>SUM(K19*(1-S3))</f>
        <v>0</v>
      </c>
      <c r="M19" s="38">
        <f>VLOOKUP($G19,'Product List'!$B:$H,6,0)</f>
        <v>10</v>
      </c>
      <c r="N19" s="156">
        <f>VLOOKUP($G19,'Product List'!$B:$H,7,0)</f>
        <v>10</v>
      </c>
      <c r="O19" s="175">
        <f t="shared" si="2"/>
        <v>1</v>
      </c>
      <c r="P19" s="162"/>
      <c r="Q19" s="169">
        <f t="shared" si="3"/>
        <v>0</v>
      </c>
      <c r="R19" s="214">
        <f t="shared" si="4"/>
        <v>21.5</v>
      </c>
      <c r="S19" s="115">
        <f t="shared" si="5"/>
        <v>1</v>
      </c>
      <c r="T19" s="3"/>
      <c r="U19" s="267"/>
      <c r="V19" s="268"/>
      <c r="W19" s="268"/>
      <c r="X19" s="268"/>
      <c r="Y19" s="268"/>
      <c r="Z19" s="268"/>
      <c r="AA19" s="268"/>
      <c r="AB19" s="268"/>
      <c r="AC19" s="268"/>
      <c r="AD19" s="268"/>
      <c r="AE19" s="269"/>
      <c r="AF19" s="3"/>
      <c r="AG19" s="3"/>
      <c r="AH19" s="3"/>
      <c r="AI19" s="3"/>
      <c r="AJ19" s="3"/>
      <c r="AK19" s="3"/>
      <c r="AL19" s="3"/>
      <c r="AM19" s="3"/>
    </row>
    <row r="20" spans="1:39" ht="15" customHeight="1" x14ac:dyDescent="0.4">
      <c r="A20" s="3"/>
      <c r="B20" s="147" t="str">
        <f>VLOOKUP($G20,'Product List'!$B:$H,2,0)</f>
        <v>BGA182-206-N00</v>
      </c>
      <c r="C20" s="148" t="str">
        <f>HYPERLINK(VLOOKUP($G20,'Product List'!$B:$H,3,0),"VIEW")</f>
        <v>VIEW</v>
      </c>
      <c r="D20" s="193" t="str">
        <f>VLOOKUP($G20,'Product List'!$B:$H,4,0)</f>
        <v>RPKE-000-009</v>
      </c>
      <c r="E20" s="17">
        <v>14</v>
      </c>
      <c r="F20" s="23">
        <v>2</v>
      </c>
      <c r="G20" s="58" t="s">
        <v>68</v>
      </c>
      <c r="H20" s="133"/>
      <c r="I20" s="19">
        <f>COUNTIF(G$19:G$22,G20)</f>
        <v>2</v>
      </c>
      <c r="J20" s="5">
        <f>MATCH(G20,G$19:G$22,0)</f>
        <v>2</v>
      </c>
      <c r="K20" s="72">
        <f>IF($N$3="GBP",VLOOKUP(G20,'Product List'!B:N,10,FALSE),IF($N$3="EUR",VLOOKUP(G20,'Product List'!B:N,11,FALSE),IF($N$3="USD",VLOOKUP(G20,'Product List'!B:N,12,FALSE))))</f>
        <v>4.67</v>
      </c>
      <c r="L20" s="71">
        <f>SUM(K20*(1-S3))</f>
        <v>0</v>
      </c>
      <c r="M20" s="38">
        <f>VLOOKUP($G20,'Product List'!$B:$H,6,0)</f>
        <v>10</v>
      </c>
      <c r="N20" s="156">
        <f>VLOOKUP($G20,'Product List'!$B:$H,7,0)</f>
        <v>10</v>
      </c>
      <c r="O20" s="175">
        <f t="shared" si="2"/>
        <v>2</v>
      </c>
      <c r="P20" s="162"/>
      <c r="Q20" s="169">
        <f t="shared" si="3"/>
        <v>0</v>
      </c>
      <c r="R20" s="214">
        <f t="shared" si="4"/>
        <v>93.4</v>
      </c>
      <c r="S20" s="115">
        <f t="shared" si="5"/>
        <v>1</v>
      </c>
      <c r="T20" s="3"/>
      <c r="U20" s="267"/>
      <c r="V20" s="268"/>
      <c r="W20" s="268"/>
      <c r="X20" s="268"/>
      <c r="Y20" s="268"/>
      <c r="Z20" s="268"/>
      <c r="AA20" s="268"/>
      <c r="AB20" s="268"/>
      <c r="AC20" s="268"/>
      <c r="AD20" s="268"/>
      <c r="AE20" s="269"/>
      <c r="AF20" s="3"/>
      <c r="AG20" s="3"/>
      <c r="AH20" s="3"/>
      <c r="AI20" s="3"/>
      <c r="AJ20" s="3"/>
      <c r="AK20" s="3"/>
      <c r="AL20" s="3"/>
      <c r="AM20" s="3"/>
    </row>
    <row r="21" spans="1:39" ht="15" customHeight="1" x14ac:dyDescent="0.4">
      <c r="A21" s="3"/>
      <c r="B21" s="147" t="str">
        <f>VLOOKUP($G21,'Product List'!$B:$H,2,0)</f>
        <v>BGA182-206-N00</v>
      </c>
      <c r="C21" s="148" t="str">
        <f>HYPERLINK(VLOOKUP($G21,'Product List'!$B:$H,3,0),"VIEW")</f>
        <v>VIEW</v>
      </c>
      <c r="D21" s="193" t="str">
        <f>VLOOKUP($G21,'Product List'!$B:$H,4,0)</f>
        <v>RPKE-000-009</v>
      </c>
      <c r="E21" s="17">
        <v>15</v>
      </c>
      <c r="F21" s="23">
        <v>3</v>
      </c>
      <c r="G21" s="58" t="s">
        <v>68</v>
      </c>
      <c r="H21" s="133"/>
      <c r="I21" s="19">
        <f>COUNTIF(G$19:G$22,G21)</f>
        <v>2</v>
      </c>
      <c r="J21" s="5">
        <f>MATCH(G21,G$19:G$22,0)</f>
        <v>2</v>
      </c>
      <c r="K21" s="72">
        <f>IF($N$3="GBP",VLOOKUP(G21,'Product List'!B:N,10,FALSE),IF($N$3="EUR",VLOOKUP(G21,'Product List'!B:N,11,FALSE),IF($N$3="USD",VLOOKUP(G21,'Product List'!B:N,12,FALSE))))</f>
        <v>4.67</v>
      </c>
      <c r="L21" s="71">
        <f>SUM(K21*(1-S3))</f>
        <v>0</v>
      </c>
      <c r="M21" s="38">
        <f>VLOOKUP($G21,'Product List'!$B:$H,6,0)</f>
        <v>10</v>
      </c>
      <c r="N21" s="156">
        <f>VLOOKUP($G21,'Product List'!$B:$H,7,0)</f>
        <v>10</v>
      </c>
      <c r="O21" s="175">
        <f t="shared" si="2"/>
        <v>0</v>
      </c>
      <c r="P21" s="162"/>
      <c r="Q21" s="169">
        <f t="shared" si="3"/>
        <v>0</v>
      </c>
      <c r="R21" s="214">
        <f t="shared" si="4"/>
        <v>0</v>
      </c>
      <c r="S21" s="115">
        <f t="shared" si="5"/>
        <v>0</v>
      </c>
      <c r="T21" s="3"/>
      <c r="U21" s="267"/>
      <c r="V21" s="268"/>
      <c r="W21" s="268"/>
      <c r="X21" s="268"/>
      <c r="Y21" s="268"/>
      <c r="Z21" s="268"/>
      <c r="AA21" s="268"/>
      <c r="AB21" s="268"/>
      <c r="AC21" s="268"/>
      <c r="AD21" s="268"/>
      <c r="AE21" s="269"/>
      <c r="AF21" s="3"/>
      <c r="AG21" s="3"/>
      <c r="AH21" s="3"/>
      <c r="AI21" s="3"/>
      <c r="AJ21" s="3"/>
      <c r="AK21" s="3"/>
      <c r="AL21" s="3"/>
      <c r="AM21" s="3"/>
    </row>
    <row r="22" spans="1:39" ht="15.75" customHeight="1" x14ac:dyDescent="0.4">
      <c r="A22" s="3"/>
      <c r="B22" s="147" t="str">
        <f>VLOOKUP($G22,'Product List'!$B:$H,2,0)</f>
        <v>BGA802-206-N00</v>
      </c>
      <c r="C22" s="148" t="str">
        <f>HYPERLINK(VLOOKUP($G22,'Product List'!$B:$H,3,0),"VIEW")</f>
        <v>VIEW</v>
      </c>
      <c r="D22" s="193" t="str">
        <f>VLOOKUP($G22,'Product List'!$B:$H,4,0)</f>
        <v>RPKE-000-010</v>
      </c>
      <c r="E22" s="17">
        <v>16</v>
      </c>
      <c r="F22" s="23">
        <v>4</v>
      </c>
      <c r="G22" s="58" t="s">
        <v>69</v>
      </c>
      <c r="H22" s="133"/>
      <c r="I22" s="19">
        <f>COUNTIF(G$19:G$22,G22)</f>
        <v>1</v>
      </c>
      <c r="J22" s="5">
        <f>MATCH(G22,G$19:G$22,0)</f>
        <v>4</v>
      </c>
      <c r="K22" s="72">
        <f>IF($N$3="GBP",VLOOKUP(G22,'Product List'!B:N,10,FALSE),IF($N$3="EUR",VLOOKUP(G22,'Product List'!B:N,11,FALSE),IF($N$3="USD",VLOOKUP(G22,'Product List'!B:N,12,FALSE))))</f>
        <v>5.04</v>
      </c>
      <c r="L22" s="71">
        <f>SUM(K22*(1-S3))</f>
        <v>0</v>
      </c>
      <c r="M22" s="38">
        <f>VLOOKUP($G22,'Product List'!$B:$H,6,0)</f>
        <v>10</v>
      </c>
      <c r="N22" s="156">
        <f>VLOOKUP($G22,'Product List'!$B:$H,7,0)</f>
        <v>10</v>
      </c>
      <c r="O22" s="175">
        <f t="shared" si="2"/>
        <v>1</v>
      </c>
      <c r="P22" s="162"/>
      <c r="Q22" s="169">
        <f t="shared" si="3"/>
        <v>0</v>
      </c>
      <c r="R22" s="214">
        <f t="shared" si="4"/>
        <v>50.4</v>
      </c>
      <c r="S22" s="115">
        <f t="shared" si="5"/>
        <v>1</v>
      </c>
      <c r="T22" s="3"/>
      <c r="U22" s="267"/>
      <c r="V22" s="268"/>
      <c r="W22" s="268"/>
      <c r="X22" s="268"/>
      <c r="Y22" s="268"/>
      <c r="Z22" s="268"/>
      <c r="AA22" s="268"/>
      <c r="AB22" s="268"/>
      <c r="AC22" s="268"/>
      <c r="AD22" s="268"/>
      <c r="AE22" s="269"/>
      <c r="AF22" s="3"/>
      <c r="AG22" s="3"/>
      <c r="AH22" s="3"/>
      <c r="AI22" s="3"/>
      <c r="AJ22" s="3"/>
      <c r="AK22" s="3"/>
      <c r="AL22" s="3"/>
      <c r="AM22" s="3"/>
    </row>
    <row r="23" spans="1:39" ht="15" customHeight="1" x14ac:dyDescent="0.4">
      <c r="A23" s="3"/>
      <c r="B23" s="147" t="str">
        <f>VLOOKUP($G23,'Product List'!$B:$H,2,0)</f>
        <v>BHT0A3-0L5-N00</v>
      </c>
      <c r="C23" s="148" t="str">
        <f>HYPERLINK(VLOOKUP($G23,'Product List'!$B:$H,3,0),"VIEW")</f>
        <v>VIEW</v>
      </c>
      <c r="D23" s="193" t="str">
        <f>VLOOKUP($G23,'Product List'!$B:$H,4,0)</f>
        <v>RPKE-000-015</v>
      </c>
      <c r="E23" s="31">
        <v>17</v>
      </c>
      <c r="F23" s="23">
        <v>1</v>
      </c>
      <c r="G23" s="59" t="s">
        <v>5</v>
      </c>
      <c r="H23" s="133"/>
      <c r="I23" s="19">
        <f>COUNTIF(G$23:G$28,G23)</f>
        <v>4</v>
      </c>
      <c r="J23" s="5">
        <f>MATCH(G23,G$23:G$28,0)</f>
        <v>1</v>
      </c>
      <c r="K23" s="72">
        <f>IF($N$3="GBP",VLOOKUP(G23,'Product List'!B:N,10,FALSE),IF($N$3="EUR",VLOOKUP(G23,'Product List'!B:N,11,FALSE),IF($N$3="USD",VLOOKUP(G23,'Product List'!B:N,12,FALSE))))</f>
        <v>24.92</v>
      </c>
      <c r="L23" s="71">
        <f>SUM(K23*(1-S3))</f>
        <v>0</v>
      </c>
      <c r="M23" s="38">
        <f>VLOOKUP($G23,'Product List'!$B:$H,6,0)</f>
        <v>3</v>
      </c>
      <c r="N23" s="156">
        <f>VLOOKUP($G23,'Product List'!$B:$H,7,0)</f>
        <v>10</v>
      </c>
      <c r="O23" s="175">
        <f t="shared" si="2"/>
        <v>2</v>
      </c>
      <c r="P23" s="162"/>
      <c r="Q23" s="169">
        <f t="shared" si="3"/>
        <v>0</v>
      </c>
      <c r="R23" s="214">
        <f t="shared" si="4"/>
        <v>498.40000000000003</v>
      </c>
      <c r="S23" s="115">
        <f t="shared" si="5"/>
        <v>1</v>
      </c>
      <c r="T23" s="3"/>
      <c r="U23" s="267"/>
      <c r="V23" s="268"/>
      <c r="W23" s="268"/>
      <c r="X23" s="268"/>
      <c r="Y23" s="268"/>
      <c r="Z23" s="268"/>
      <c r="AA23" s="268"/>
      <c r="AB23" s="268"/>
      <c r="AC23" s="268"/>
      <c r="AD23" s="268"/>
      <c r="AE23" s="269"/>
      <c r="AF23" s="3"/>
      <c r="AG23" s="3"/>
      <c r="AH23" s="3"/>
      <c r="AI23" s="3"/>
      <c r="AJ23" s="3"/>
      <c r="AK23" s="3"/>
      <c r="AL23" s="3"/>
      <c r="AM23" s="3"/>
    </row>
    <row r="24" spans="1:39" ht="15" customHeight="1" x14ac:dyDescent="0.4">
      <c r="A24" s="3"/>
      <c r="B24" s="147" t="str">
        <f>VLOOKUP($G24,'Product List'!$B:$H,2,0)</f>
        <v>BHT0A3-0L5-N00</v>
      </c>
      <c r="C24" s="148" t="str">
        <f>HYPERLINK(VLOOKUP($G24,'Product List'!$B:$H,3,0),"VIEW")</f>
        <v>VIEW</v>
      </c>
      <c r="D24" s="193" t="str">
        <f>VLOOKUP($G24,'Product List'!$B:$H,4,0)</f>
        <v>RPKE-000-015</v>
      </c>
      <c r="E24" s="31">
        <v>18</v>
      </c>
      <c r="F24" s="23">
        <v>2</v>
      </c>
      <c r="G24" s="59" t="s">
        <v>5</v>
      </c>
      <c r="H24" s="133"/>
      <c r="I24" s="19">
        <f>COUNTIF(G$23:G$28,G24)</f>
        <v>4</v>
      </c>
      <c r="J24" s="5">
        <f>MATCH(G24,G$23:G$28,0)</f>
        <v>1</v>
      </c>
      <c r="K24" s="72">
        <f>IF($N$3="GBP",VLOOKUP(G24,'Product List'!B:N,10,FALSE),IF($N$3="EUR",VLOOKUP(G24,'Product List'!B:N,11,FALSE),IF($N$3="USD",VLOOKUP(G24,'Product List'!B:N,12,FALSE))))</f>
        <v>24.92</v>
      </c>
      <c r="L24" s="71">
        <f>SUM(K24*(1-S3))</f>
        <v>0</v>
      </c>
      <c r="M24" s="38">
        <f>VLOOKUP($G24,'Product List'!$B:$H,6,0)</f>
        <v>3</v>
      </c>
      <c r="N24" s="156">
        <f>VLOOKUP($G24,'Product List'!$B:$H,7,0)</f>
        <v>10</v>
      </c>
      <c r="O24" s="175">
        <f>IF(J24=F24,ROUNDUP(SUM(I24*M24)/N24,0),0)</f>
        <v>0</v>
      </c>
      <c r="P24" s="162"/>
      <c r="Q24" s="169">
        <f t="shared" si="3"/>
        <v>0</v>
      </c>
      <c r="R24" s="214">
        <f t="shared" si="4"/>
        <v>0</v>
      </c>
      <c r="S24" s="115">
        <f t="shared" si="5"/>
        <v>0</v>
      </c>
      <c r="T24" s="3"/>
      <c r="U24" s="267"/>
      <c r="V24" s="268"/>
      <c r="W24" s="268"/>
      <c r="X24" s="268"/>
      <c r="Y24" s="268"/>
      <c r="Z24" s="268"/>
      <c r="AA24" s="268"/>
      <c r="AB24" s="268"/>
      <c r="AC24" s="268"/>
      <c r="AD24" s="268"/>
      <c r="AE24" s="269"/>
      <c r="AF24" s="3"/>
      <c r="AG24" s="3"/>
      <c r="AH24" s="3"/>
      <c r="AI24" s="3"/>
      <c r="AJ24" s="3"/>
      <c r="AK24" s="3"/>
      <c r="AL24" s="3"/>
      <c r="AM24" s="3"/>
    </row>
    <row r="25" spans="1:39" ht="15" customHeight="1" x14ac:dyDescent="0.4">
      <c r="A25" s="3"/>
      <c r="B25" s="147" t="str">
        <f>VLOOKUP($G25,'Product List'!$B:$H,2,0)</f>
        <v>BHT0A3-0L5-N00</v>
      </c>
      <c r="C25" s="148" t="str">
        <f>HYPERLINK(VLOOKUP($G25,'Product List'!$B:$H,3,0),"VIEW")</f>
        <v>VIEW</v>
      </c>
      <c r="D25" s="193" t="str">
        <f>VLOOKUP($G25,'Product List'!$B:$H,4,0)</f>
        <v>RPKE-000-015</v>
      </c>
      <c r="E25" s="31">
        <v>19</v>
      </c>
      <c r="F25" s="23">
        <v>3</v>
      </c>
      <c r="G25" s="59" t="s">
        <v>5</v>
      </c>
      <c r="H25" s="133"/>
      <c r="I25" s="19">
        <f>COUNTIF(G$23:G$28,G25)</f>
        <v>4</v>
      </c>
      <c r="J25" s="5">
        <f>MATCH(G25,G$23:G$28,0)</f>
        <v>1</v>
      </c>
      <c r="K25" s="72">
        <f>IF($N$3="GBP",VLOOKUP(G25,'Product List'!B:N,10,FALSE),IF($N$3="EUR",VLOOKUP(G25,'Product List'!B:N,11,FALSE),IF($N$3="USD",VLOOKUP(G25,'Product List'!B:N,12,FALSE))))</f>
        <v>24.92</v>
      </c>
      <c r="L25" s="71">
        <f>SUM(K25*(1-S3))</f>
        <v>0</v>
      </c>
      <c r="M25" s="38">
        <f>VLOOKUP($G25,'Product List'!$B:$H,6,0)</f>
        <v>3</v>
      </c>
      <c r="N25" s="156">
        <f>VLOOKUP($G25,'Product List'!$B:$H,7,0)</f>
        <v>10</v>
      </c>
      <c r="O25" s="175">
        <f t="shared" si="2"/>
        <v>0</v>
      </c>
      <c r="P25" s="162"/>
      <c r="Q25" s="169">
        <f t="shared" si="3"/>
        <v>0</v>
      </c>
      <c r="R25" s="214">
        <f t="shared" si="4"/>
        <v>0</v>
      </c>
      <c r="S25" s="115">
        <f t="shared" si="5"/>
        <v>0</v>
      </c>
      <c r="T25" s="3"/>
      <c r="U25" s="267"/>
      <c r="V25" s="268"/>
      <c r="W25" s="268"/>
      <c r="X25" s="268"/>
      <c r="Y25" s="268"/>
      <c r="Z25" s="268"/>
      <c r="AA25" s="268"/>
      <c r="AB25" s="268"/>
      <c r="AC25" s="268"/>
      <c r="AD25" s="268"/>
      <c r="AE25" s="269"/>
      <c r="AF25" s="3"/>
      <c r="AG25" s="3"/>
      <c r="AH25" s="3"/>
      <c r="AI25" s="3"/>
      <c r="AJ25" s="3"/>
      <c r="AK25" s="3"/>
      <c r="AL25" s="3"/>
      <c r="AM25" s="3"/>
    </row>
    <row r="26" spans="1:39" ht="15" customHeight="1" x14ac:dyDescent="0.4">
      <c r="A26" s="3"/>
      <c r="B26" s="147" t="str">
        <f>VLOOKUP($G26,'Product List'!$B:$H,2,0)</f>
        <v>BHT0A3-0L5-N00</v>
      </c>
      <c r="C26" s="148" t="str">
        <f>HYPERLINK(VLOOKUP($G26,'Product List'!$B:$H,3,0),"VIEW")</f>
        <v>VIEW</v>
      </c>
      <c r="D26" s="193" t="str">
        <f>VLOOKUP($G26,'Product List'!$B:$H,4,0)</f>
        <v>RPKE-000-015</v>
      </c>
      <c r="E26" s="31">
        <v>20</v>
      </c>
      <c r="F26" s="23">
        <v>4</v>
      </c>
      <c r="G26" s="59" t="s">
        <v>5</v>
      </c>
      <c r="H26" s="133"/>
      <c r="I26" s="19">
        <f>COUNTIF(G$23:G$28,G26)</f>
        <v>4</v>
      </c>
      <c r="J26" s="5">
        <f>MATCH(G26,G$23:G$28,0)</f>
        <v>1</v>
      </c>
      <c r="K26" s="72">
        <f>IF($N$3="GBP",VLOOKUP(G26,'Product List'!B:N,10,FALSE),IF($N$3="EUR",VLOOKUP(G26,'Product List'!B:N,11,FALSE),IF($N$3="USD",VLOOKUP(G26,'Product List'!B:N,12,FALSE))))</f>
        <v>24.92</v>
      </c>
      <c r="L26" s="71">
        <f>SUM(K26*(1-S3))</f>
        <v>0</v>
      </c>
      <c r="M26" s="38">
        <f>VLOOKUP($G26,'Product List'!$B:$H,6,0)</f>
        <v>3</v>
      </c>
      <c r="N26" s="156">
        <f>VLOOKUP($G26,'Product List'!$B:$H,7,0)</f>
        <v>10</v>
      </c>
      <c r="O26" s="175">
        <f t="shared" si="2"/>
        <v>0</v>
      </c>
      <c r="P26" s="162"/>
      <c r="Q26" s="169">
        <f t="shared" si="3"/>
        <v>0</v>
      </c>
      <c r="R26" s="214">
        <f t="shared" si="4"/>
        <v>0</v>
      </c>
      <c r="S26" s="115">
        <f t="shared" si="5"/>
        <v>0</v>
      </c>
      <c r="T26" s="3"/>
      <c r="U26" s="267"/>
      <c r="V26" s="268"/>
      <c r="W26" s="268"/>
      <c r="X26" s="268"/>
      <c r="Y26" s="268"/>
      <c r="Z26" s="268"/>
      <c r="AA26" s="268"/>
      <c r="AB26" s="268"/>
      <c r="AC26" s="268"/>
      <c r="AD26" s="268"/>
      <c r="AE26" s="269"/>
      <c r="AF26" s="3"/>
      <c r="AG26" s="3"/>
      <c r="AH26" s="3"/>
      <c r="AI26" s="3"/>
      <c r="AJ26" s="3"/>
      <c r="AK26" s="3"/>
      <c r="AL26" s="3"/>
      <c r="AM26" s="3"/>
    </row>
    <row r="27" spans="1:39" ht="15" customHeight="1" x14ac:dyDescent="0.4">
      <c r="A27" s="3"/>
      <c r="B27" s="147" t="str">
        <f>VLOOKUP($G27,'Product List'!$B:$H,2,0)</f>
        <v>BMN990-001-700</v>
      </c>
      <c r="C27" s="148" t="str">
        <f>HYPERLINK(VLOOKUP($G27,'Product List'!$B:$H,3,0),"VIEW")</f>
        <v>VIEW</v>
      </c>
      <c r="D27" s="193" t="str">
        <f>VLOOKUP($G27,'Product List'!$B:$H,4,0)</f>
        <v>RPKE-000-016</v>
      </c>
      <c r="E27" s="31">
        <v>21</v>
      </c>
      <c r="F27" s="23">
        <v>1</v>
      </c>
      <c r="G27" s="59" t="s">
        <v>74</v>
      </c>
      <c r="H27" s="133"/>
      <c r="I27" s="19">
        <f>COUNTIF(G$27:G$28,G27)</f>
        <v>2</v>
      </c>
      <c r="J27" s="5">
        <f>MATCH(G27,G$27:G$28,0)</f>
        <v>1</v>
      </c>
      <c r="K27" s="72">
        <f>IF($N$3="GBP",VLOOKUP(G27,'Product List'!B:N,10,FALSE),IF($N$3="EUR",VLOOKUP(G27,'Product List'!B:N,11,FALSE),IF($N$3="USD",VLOOKUP(G27,'Product List'!B:N,12,FALSE))))</f>
        <v>10.73</v>
      </c>
      <c r="L27" s="71">
        <f>SUM(K27*(1-S3))</f>
        <v>0</v>
      </c>
      <c r="M27" s="38">
        <f>VLOOKUP($G27,'Product List'!$B:$H,6,0)</f>
        <v>7</v>
      </c>
      <c r="N27" s="156">
        <f>VLOOKUP($G27,'Product List'!$B:$H,7,0)</f>
        <v>10</v>
      </c>
      <c r="O27" s="175">
        <f t="shared" si="2"/>
        <v>2</v>
      </c>
      <c r="P27" s="162"/>
      <c r="Q27" s="169">
        <f t="shared" si="3"/>
        <v>0</v>
      </c>
      <c r="R27" s="214">
        <f t="shared" si="4"/>
        <v>214.60000000000002</v>
      </c>
      <c r="S27" s="115">
        <f t="shared" si="5"/>
        <v>1</v>
      </c>
      <c r="T27" s="3"/>
      <c r="U27" s="267"/>
      <c r="V27" s="268"/>
      <c r="W27" s="268"/>
      <c r="X27" s="268"/>
      <c r="Y27" s="268"/>
      <c r="Z27" s="268"/>
      <c r="AA27" s="268"/>
      <c r="AB27" s="268"/>
      <c r="AC27" s="268"/>
      <c r="AD27" s="268"/>
      <c r="AE27" s="269"/>
      <c r="AF27" s="3"/>
      <c r="AG27" s="3"/>
      <c r="AH27" s="3"/>
      <c r="AI27" s="3"/>
      <c r="AJ27" s="3"/>
      <c r="AK27" s="3"/>
      <c r="AL27" s="3"/>
      <c r="AM27" s="3"/>
    </row>
    <row r="28" spans="1:39" ht="15.75" customHeight="1" x14ac:dyDescent="0.4">
      <c r="A28" s="3"/>
      <c r="B28" s="147" t="str">
        <f>VLOOKUP($G28,'Product List'!$B:$H,2,0)</f>
        <v>BMN990-001-700</v>
      </c>
      <c r="C28" s="148" t="str">
        <f>HYPERLINK(VLOOKUP($G28,'Product List'!$B:$H,3,0),"VIEW")</f>
        <v>VIEW</v>
      </c>
      <c r="D28" s="193" t="str">
        <f>VLOOKUP($G28,'Product List'!$B:$H,4,0)</f>
        <v>RPKE-000-016</v>
      </c>
      <c r="E28" s="31">
        <v>22</v>
      </c>
      <c r="F28" s="23">
        <v>2</v>
      </c>
      <c r="G28" s="59" t="s">
        <v>74</v>
      </c>
      <c r="H28" s="133"/>
      <c r="I28" s="19">
        <f>COUNTIF(G$27:G$28,G28)</f>
        <v>2</v>
      </c>
      <c r="J28" s="5">
        <f>MATCH(G28,G$27:G$28,0)</f>
        <v>1</v>
      </c>
      <c r="K28" s="72">
        <f>IF($N$3="GBP",VLOOKUP(G28,'Product List'!B:N,10,FALSE),IF($N$3="EUR",VLOOKUP(G28,'Product List'!B:N,11,FALSE),IF($N$3="USD",VLOOKUP(G28,'Product List'!B:N,12,FALSE))))</f>
        <v>10.73</v>
      </c>
      <c r="L28" s="71">
        <f>SUM(K28*(1-S3))</f>
        <v>0</v>
      </c>
      <c r="M28" s="38">
        <f>VLOOKUP($G28,'Product List'!$B:$H,6,0)</f>
        <v>7</v>
      </c>
      <c r="N28" s="156">
        <f>VLOOKUP($G28,'Product List'!$B:$H,7,0)</f>
        <v>10</v>
      </c>
      <c r="O28" s="175">
        <f t="shared" si="2"/>
        <v>0</v>
      </c>
      <c r="P28" s="162"/>
      <c r="Q28" s="169">
        <f t="shared" si="3"/>
        <v>0</v>
      </c>
      <c r="R28" s="214">
        <f t="shared" si="4"/>
        <v>0</v>
      </c>
      <c r="S28" s="220">
        <f t="shared" si="5"/>
        <v>0</v>
      </c>
      <c r="T28" s="3"/>
      <c r="U28" s="267"/>
      <c r="V28" s="268"/>
      <c r="W28" s="268"/>
      <c r="X28" s="268"/>
      <c r="Y28" s="268"/>
      <c r="Z28" s="268"/>
      <c r="AA28" s="268"/>
      <c r="AB28" s="268"/>
      <c r="AC28" s="268"/>
      <c r="AD28" s="268"/>
      <c r="AE28" s="269"/>
      <c r="AF28" s="3"/>
      <c r="AG28" s="3"/>
      <c r="AH28" s="3"/>
      <c r="AI28" s="3"/>
      <c r="AJ28" s="3"/>
      <c r="AK28" s="3"/>
      <c r="AL28" s="3"/>
      <c r="AM28" s="3"/>
    </row>
    <row r="29" spans="1:39" ht="15.75" customHeight="1" x14ac:dyDescent="0.4">
      <c r="A29" s="3"/>
      <c r="B29" s="150" t="str">
        <f>VLOOKUP($G29,'Product List'!$B:$H,2,0)</f>
        <v>AFZ101-131-100</v>
      </c>
      <c r="C29" s="149" t="str">
        <f>HYPERLINK(VLOOKUP($G29,'Product List'!$B:$H,3,0),"VIEW")</f>
        <v>VIEW</v>
      </c>
      <c r="D29" s="193" t="str">
        <f>VLOOKUP($G29,'Product List'!$B:$H,4,0)</f>
        <v>RPKE-000-043</v>
      </c>
      <c r="E29" s="22">
        <v>23</v>
      </c>
      <c r="F29" s="23">
        <v>1</v>
      </c>
      <c r="G29" s="60" t="s">
        <v>15</v>
      </c>
      <c r="H29" s="133"/>
      <c r="I29" s="19">
        <f>COUNTIF(G$29:G$30,G29)</f>
        <v>1</v>
      </c>
      <c r="J29" s="5">
        <f>MATCH(G29,G$29:G$30,0)</f>
        <v>1</v>
      </c>
      <c r="K29" s="73">
        <f>IF($N$3="GBP",VLOOKUP(G29,'Product List'!B:N,10,FALSE),IF($N$3="EUR",VLOOKUP(G29,'Product List'!B:N,11,FALSE),IF($N$3="USD",VLOOKUP(G29,'Product List'!B:N,12,FALSE))))</f>
        <v>43.89</v>
      </c>
      <c r="L29" s="68">
        <f>SUM(K29*(1-S3))</f>
        <v>0</v>
      </c>
      <c r="M29" s="38">
        <f>VLOOKUP($G29,'Product List'!$B:$H,6,0)</f>
        <v>2</v>
      </c>
      <c r="N29" s="157">
        <f>VLOOKUP($G29,'Product List'!$B:$H,7,0)</f>
        <v>1</v>
      </c>
      <c r="O29" s="176">
        <f t="shared" si="2"/>
        <v>2</v>
      </c>
      <c r="P29" s="163"/>
      <c r="Q29" s="170">
        <f t="shared" si="3"/>
        <v>0</v>
      </c>
      <c r="R29" s="216">
        <f t="shared" si="4"/>
        <v>87.78</v>
      </c>
      <c r="S29" s="116">
        <f t="shared" si="5"/>
        <v>1</v>
      </c>
      <c r="T29" s="3"/>
      <c r="U29" s="267"/>
      <c r="V29" s="268"/>
      <c r="W29" s="268"/>
      <c r="X29" s="268"/>
      <c r="Y29" s="268"/>
      <c r="Z29" s="268"/>
      <c r="AA29" s="268"/>
      <c r="AB29" s="268"/>
      <c r="AC29" s="268"/>
      <c r="AD29" s="268"/>
      <c r="AE29" s="269"/>
      <c r="AF29" s="3"/>
      <c r="AG29" s="3"/>
      <c r="AH29" s="3"/>
      <c r="AI29" s="3"/>
      <c r="AJ29" s="3"/>
      <c r="AK29" s="3"/>
      <c r="AL29" s="3"/>
      <c r="AM29" s="3"/>
    </row>
    <row r="30" spans="1:39" ht="15" customHeight="1" thickBot="1" x14ac:dyDescent="0.45">
      <c r="A30" s="3"/>
      <c r="B30" s="151" t="str">
        <f>VLOOKUP($G30,'Product List'!$B:$H,2,0)</f>
        <v>BPB003-004-000</v>
      </c>
      <c r="C30" s="182" t="str">
        <f>HYPERLINK(VLOOKUP($G30,'Product List'!$B:$H,3,0),"VIEW")</f>
        <v>VIEW</v>
      </c>
      <c r="D30" s="194" t="str">
        <f>VLOOKUP($G30,'Product List'!$B:$H,4,0)</f>
        <v>RPKE-000-040</v>
      </c>
      <c r="E30" s="117">
        <v>24</v>
      </c>
      <c r="F30" s="218">
        <v>2</v>
      </c>
      <c r="G30" s="118" t="s">
        <v>87</v>
      </c>
      <c r="H30" s="134"/>
      <c r="I30" s="119">
        <f>COUNTIF(G$29:G$30,G30)</f>
        <v>1</v>
      </c>
      <c r="J30" s="120">
        <f>MATCH(G30,G$29:G$30,0)</f>
        <v>2</v>
      </c>
      <c r="K30" s="121">
        <f>IF($N$3="GBP",VLOOKUP(G30,'Product List'!B:N,10,FALSE),IF($N$3="EUR",VLOOKUP(G30,'Product List'!B:N,11,FALSE),IF($N$3="USD",VLOOKUP(G30,'Product List'!B:N,12,FALSE))))</f>
        <v>104.49</v>
      </c>
      <c r="L30" s="122">
        <f>SUM(K30*(1-S3))</f>
        <v>0</v>
      </c>
      <c r="M30" s="123">
        <f>VLOOKUP($G30,'Product List'!$B:$H,6,0)</f>
        <v>2</v>
      </c>
      <c r="N30" s="158">
        <f>VLOOKUP($G30,'Product List'!$B:$H,7,0)</f>
        <v>1</v>
      </c>
      <c r="O30" s="183">
        <f t="shared" si="2"/>
        <v>2</v>
      </c>
      <c r="P30" s="164"/>
      <c r="Q30" s="171">
        <f t="shared" si="3"/>
        <v>0</v>
      </c>
      <c r="R30" s="217">
        <f t="shared" si="4"/>
        <v>208.98</v>
      </c>
      <c r="S30" s="124">
        <f t="shared" si="5"/>
        <v>1</v>
      </c>
      <c r="T30" s="3"/>
      <c r="U30" s="11"/>
      <c r="V30" s="3"/>
      <c r="W30" s="3"/>
      <c r="X30" s="3"/>
      <c r="Y30" s="3"/>
      <c r="Z30" s="3"/>
      <c r="AA30" s="3"/>
      <c r="AB30" s="3"/>
      <c r="AC30" s="3"/>
      <c r="AD30" s="3"/>
      <c r="AE30" s="4"/>
      <c r="AF30" s="3"/>
      <c r="AG30" s="3"/>
      <c r="AH30" s="3"/>
      <c r="AI30" s="3"/>
      <c r="AJ30" s="3"/>
      <c r="AK30" s="3"/>
      <c r="AL30" s="3"/>
      <c r="AM30" s="3"/>
    </row>
    <row r="31" spans="1:39" ht="15" customHeight="1" x14ac:dyDescent="0.4">
      <c r="A31" s="3"/>
      <c r="D31" s="19"/>
      <c r="E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11"/>
      <c r="V31" s="270" t="s">
        <v>206</v>
      </c>
      <c r="W31" s="271"/>
      <c r="X31" s="271"/>
      <c r="Y31" s="271"/>
      <c r="Z31" s="272">
        <v>1</v>
      </c>
      <c r="AA31" s="274" t="s">
        <v>157</v>
      </c>
      <c r="AB31" s="274"/>
      <c r="AC31" s="275" t="s">
        <v>158</v>
      </c>
      <c r="AD31" s="276"/>
      <c r="AE31" s="4"/>
      <c r="AF31" s="3"/>
      <c r="AG31" s="3"/>
      <c r="AH31" s="3"/>
      <c r="AI31" s="3"/>
      <c r="AJ31" s="3"/>
      <c r="AK31" s="3"/>
      <c r="AL31" s="3"/>
      <c r="AM31" s="3"/>
    </row>
    <row r="32" spans="1:39" ht="15" customHeight="1" x14ac:dyDescent="0.4">
      <c r="A32" s="3"/>
      <c r="D32" s="19"/>
      <c r="E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2" t="s">
        <v>49</v>
      </c>
      <c r="R32" s="2" t="s">
        <v>55</v>
      </c>
      <c r="S32" s="2" t="s">
        <v>54</v>
      </c>
      <c r="T32" s="3"/>
      <c r="U32" s="11"/>
      <c r="V32" s="271"/>
      <c r="W32" s="271"/>
      <c r="X32" s="271"/>
      <c r="Y32" s="271"/>
      <c r="Z32" s="273"/>
      <c r="AA32" s="277">
        <f>SUM(Q33*Z31)</f>
        <v>0</v>
      </c>
      <c r="AB32" s="278"/>
      <c r="AC32" s="277">
        <f>SUM(R33*Z31)</f>
        <v>2666.76</v>
      </c>
      <c r="AD32" s="278"/>
      <c r="AE32" s="4"/>
      <c r="AF32" s="3"/>
      <c r="AG32" s="3"/>
      <c r="AH32" s="3"/>
      <c r="AI32" s="3"/>
      <c r="AJ32" s="3"/>
      <c r="AK32" s="3"/>
      <c r="AL32" s="3"/>
      <c r="AM32" s="3"/>
    </row>
    <row r="33" spans="1:39" ht="15" customHeight="1" thickBot="1" x14ac:dyDescent="0.45">
      <c r="A33" s="3"/>
      <c r="D33" s="19"/>
      <c r="E33" s="3"/>
      <c r="G33" s="3"/>
      <c r="H33" s="3"/>
      <c r="I33" s="3"/>
      <c r="J33" s="3"/>
      <c r="K33" s="3"/>
      <c r="L33" s="3"/>
      <c r="M33" s="3"/>
      <c r="N33" s="3"/>
      <c r="O33" s="3"/>
      <c r="P33" s="37" t="s">
        <v>17</v>
      </c>
      <c r="Q33" s="33">
        <f>SUM(Q7:Q30)</f>
        <v>0</v>
      </c>
      <c r="R33" s="51">
        <f>SUM(R7:R30)</f>
        <v>2666.76</v>
      </c>
      <c r="S33" s="10">
        <f>IFERROR((R33-Q33)/R33,0)</f>
        <v>1</v>
      </c>
      <c r="T33" s="3"/>
      <c r="U33" s="6"/>
      <c r="V33" s="7"/>
      <c r="W33" s="7"/>
      <c r="X33" s="7"/>
      <c r="Y33" s="7"/>
      <c r="Z33" s="7"/>
      <c r="AA33" s="7"/>
      <c r="AB33" s="7"/>
      <c r="AC33" s="7"/>
      <c r="AD33" s="7"/>
      <c r="AE33" s="8"/>
      <c r="AF33" s="3"/>
      <c r="AG33" s="3"/>
      <c r="AH33" s="3"/>
      <c r="AI33" s="3"/>
      <c r="AJ33" s="3"/>
      <c r="AK33" s="3"/>
      <c r="AL33" s="3"/>
      <c r="AM33" s="3"/>
    </row>
    <row r="34" spans="1:39" ht="15" customHeight="1" x14ac:dyDescent="0.4">
      <c r="A34" s="3"/>
      <c r="D34" s="19"/>
      <c r="E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250"/>
      <c r="V34" s="251"/>
      <c r="W34" s="251"/>
      <c r="X34" s="251"/>
      <c r="Y34" s="251"/>
      <c r="Z34" s="251"/>
      <c r="AA34" s="251"/>
      <c r="AB34" s="251"/>
      <c r="AC34" s="251"/>
      <c r="AD34" s="251"/>
      <c r="AE34" s="251"/>
      <c r="AF34" s="3"/>
      <c r="AG34" s="3"/>
      <c r="AH34" s="3"/>
      <c r="AI34" s="3"/>
      <c r="AJ34" s="3"/>
      <c r="AK34" s="3"/>
      <c r="AL34" s="3"/>
      <c r="AM34" s="3"/>
    </row>
    <row r="35" spans="1:39" ht="15" customHeight="1" x14ac:dyDescent="0.4">
      <c r="A35" s="3"/>
      <c r="D35" s="19"/>
      <c r="E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252" t="str">
        <f>HYPERLINK("mailto:jsp-go@jsp.co.uk " &amp; "?cc=" &amp; "&amp;subject=JSP-GO Retail Stand Request" &amp; "&amp;body=PLEASE SAVE YOUR FILE AND ATTACH IT TO THIS EMAIL. PLEASE INCLUDE ANY OTHER DETAILS THAT WOULD BE HELPFUL TOO.", "SAVE THIS FILE THEN CLICK HERE TO SEND YOUR REQUEST")</f>
        <v>SAVE THIS FILE THEN CLICK HERE TO SEND YOUR REQUEST</v>
      </c>
      <c r="V35" s="253"/>
      <c r="W35" s="253"/>
      <c r="X35" s="253"/>
      <c r="Y35" s="253"/>
      <c r="Z35" s="253"/>
      <c r="AA35" s="253"/>
      <c r="AB35" s="253"/>
      <c r="AC35" s="253"/>
      <c r="AD35" s="253"/>
      <c r="AE35" s="254"/>
      <c r="AF35" s="3"/>
      <c r="AG35" s="3"/>
      <c r="AH35" s="3"/>
      <c r="AI35" s="3"/>
      <c r="AJ35" s="3"/>
      <c r="AK35" s="3"/>
      <c r="AL35" s="3"/>
      <c r="AM35" s="3"/>
    </row>
    <row r="36" spans="1:39" ht="15" customHeight="1" x14ac:dyDescent="0.4">
      <c r="A36" s="3"/>
      <c r="D36" s="19"/>
      <c r="E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255"/>
      <c r="V36" s="256"/>
      <c r="W36" s="256"/>
      <c r="X36" s="256"/>
      <c r="Y36" s="256"/>
      <c r="Z36" s="256"/>
      <c r="AA36" s="256"/>
      <c r="AB36" s="256"/>
      <c r="AC36" s="256"/>
      <c r="AD36" s="256"/>
      <c r="AE36" s="257"/>
      <c r="AF36" s="3"/>
      <c r="AG36" s="3"/>
      <c r="AH36" s="3"/>
      <c r="AI36" s="3"/>
      <c r="AJ36" s="3"/>
      <c r="AK36" s="3"/>
      <c r="AL36" s="3"/>
      <c r="AM36" s="3"/>
    </row>
    <row r="37" spans="1:39" ht="15" customHeight="1" x14ac:dyDescent="0.4">
      <c r="A37" s="3"/>
      <c r="D37" s="19"/>
      <c r="E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250"/>
      <c r="V37" s="251"/>
      <c r="W37" s="251"/>
      <c r="X37" s="251"/>
      <c r="Y37" s="251"/>
      <c r="Z37" s="251"/>
      <c r="AA37" s="251"/>
      <c r="AB37" s="251"/>
      <c r="AC37" s="251"/>
      <c r="AD37" s="251"/>
      <c r="AE37" s="251"/>
      <c r="AF37" s="3"/>
      <c r="AG37" s="3"/>
      <c r="AH37" s="3"/>
      <c r="AI37" s="3"/>
      <c r="AJ37" s="3"/>
      <c r="AK37" s="3"/>
      <c r="AL37" s="3"/>
      <c r="AM37" s="3"/>
    </row>
    <row r="38" spans="1:39" ht="15" customHeight="1" x14ac:dyDescent="0.4">
      <c r="A38" s="3"/>
      <c r="D38" s="19"/>
      <c r="E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250" t="s">
        <v>260</v>
      </c>
      <c r="V38" s="251"/>
      <c r="W38" s="251"/>
      <c r="X38" s="251"/>
      <c r="Y38" s="251"/>
      <c r="Z38" s="251"/>
      <c r="AA38" s="251"/>
      <c r="AB38" s="251"/>
      <c r="AC38" s="251"/>
      <c r="AD38" s="251"/>
      <c r="AE38" s="251"/>
      <c r="AF38" s="3"/>
      <c r="AG38" s="3"/>
      <c r="AH38" s="3"/>
      <c r="AI38" s="3"/>
      <c r="AJ38" s="3"/>
      <c r="AK38" s="3"/>
      <c r="AL38" s="3"/>
      <c r="AM38" s="3"/>
    </row>
    <row r="39" spans="1:39" ht="15" customHeight="1" x14ac:dyDescent="0.4">
      <c r="A39" s="3"/>
      <c r="D39" s="19"/>
      <c r="E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</row>
    <row r="40" spans="1:39" ht="15" customHeight="1" x14ac:dyDescent="0.4">
      <c r="A40" s="3"/>
      <c r="D40" s="19"/>
      <c r="E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</row>
    <row r="41" spans="1:39" ht="15" customHeight="1" x14ac:dyDescent="0.4">
      <c r="A41" s="3"/>
      <c r="D41" s="19"/>
      <c r="E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</row>
    <row r="42" spans="1:39" ht="15" customHeight="1" x14ac:dyDescent="0.4">
      <c r="A42" s="3"/>
      <c r="D42" s="19"/>
      <c r="E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</row>
    <row r="43" spans="1:39" ht="15" customHeight="1" x14ac:dyDescent="0.4">
      <c r="A43" s="3"/>
      <c r="D43" s="19"/>
      <c r="E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</row>
    <row r="44" spans="1:39" ht="15" customHeight="1" x14ac:dyDescent="0.4">
      <c r="A44" s="3"/>
      <c r="D44" s="19"/>
      <c r="E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ht="15" customHeight="1" x14ac:dyDescent="0.4">
      <c r="A45" s="3"/>
      <c r="D45" s="19"/>
      <c r="E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ht="15" customHeight="1" x14ac:dyDescent="0.4">
      <c r="A46" s="3"/>
      <c r="D46" s="19"/>
      <c r="E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ht="15" customHeight="1" x14ac:dyDescent="0.4">
      <c r="A47" s="3"/>
      <c r="D47" s="19"/>
      <c r="E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ht="15" customHeight="1" x14ac:dyDescent="0.4">
      <c r="A48" s="3"/>
      <c r="D48" s="19"/>
      <c r="E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ht="15" customHeight="1" x14ac:dyDescent="0.4">
      <c r="A49" s="3"/>
      <c r="D49" s="19"/>
      <c r="E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ht="15" customHeight="1" x14ac:dyDescent="0.4">
      <c r="A50" s="3"/>
      <c r="D50" s="19"/>
      <c r="E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</row>
    <row r="51" spans="1:39" ht="15" customHeight="1" x14ac:dyDescent="0.4">
      <c r="A51" s="3"/>
      <c r="D51" s="19"/>
      <c r="E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</row>
    <row r="52" spans="1:39" ht="15" customHeight="1" x14ac:dyDescent="0.4">
      <c r="A52" s="3"/>
      <c r="D52" s="19"/>
      <c r="E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</row>
    <row r="53" spans="1:39" ht="15" customHeight="1" x14ac:dyDescent="0.4">
      <c r="A53" s="3"/>
      <c r="D53" s="19"/>
      <c r="E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</row>
    <row r="54" spans="1:39" ht="15" customHeight="1" x14ac:dyDescent="0.4">
      <c r="A54" s="3"/>
      <c r="D54" s="19"/>
      <c r="E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</row>
    <row r="55" spans="1:39" x14ac:dyDescent="0.4">
      <c r="A55" s="3"/>
      <c r="D55" s="19"/>
      <c r="E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</row>
    <row r="56" spans="1:39" ht="15" customHeight="1" x14ac:dyDescent="0.4">
      <c r="A56" s="3"/>
      <c r="D56" s="19"/>
      <c r="E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</row>
    <row r="57" spans="1:39" ht="15" customHeight="1" x14ac:dyDescent="0.4">
      <c r="A57" s="3"/>
      <c r="D57" s="19"/>
      <c r="E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</row>
    <row r="58" spans="1:39" ht="15" customHeight="1" x14ac:dyDescent="0.4">
      <c r="A58" s="3"/>
      <c r="D58" s="19"/>
      <c r="E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</row>
    <row r="59" spans="1:39" ht="15" customHeight="1" x14ac:dyDescent="0.4">
      <c r="A59" s="3"/>
      <c r="D59" s="19"/>
      <c r="E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39" x14ac:dyDescent="0.4">
      <c r="A60" s="3"/>
      <c r="D60" s="19"/>
      <c r="E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</row>
    <row r="61" spans="1:39" ht="15" customHeight="1" x14ac:dyDescent="0.4">
      <c r="A61" s="3"/>
      <c r="D61" s="19"/>
      <c r="E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</row>
    <row r="62" spans="1:39" ht="15" customHeight="1" x14ac:dyDescent="0.4">
      <c r="A62" s="3"/>
      <c r="D62" s="19"/>
      <c r="E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</row>
    <row r="63" spans="1:39" ht="15" customHeight="1" x14ac:dyDescent="0.4">
      <c r="B63"/>
      <c r="C63"/>
      <c r="D63"/>
    </row>
    <row r="64" spans="1:39" x14ac:dyDescent="0.4">
      <c r="B64"/>
      <c r="C64"/>
      <c r="D64"/>
    </row>
    <row r="65" spans="2:10" ht="15" customHeight="1" x14ac:dyDescent="0.4">
      <c r="B65"/>
      <c r="C65"/>
      <c r="D65"/>
    </row>
    <row r="66" spans="2:10" ht="15" customHeight="1" x14ac:dyDescent="0.4">
      <c r="B66"/>
      <c r="C66"/>
      <c r="D66"/>
      <c r="F66"/>
      <c r="I66"/>
      <c r="J66"/>
    </row>
    <row r="67" spans="2:10" ht="15" customHeight="1" x14ac:dyDescent="0.4">
      <c r="B67"/>
      <c r="C67"/>
      <c r="D67"/>
      <c r="F67"/>
      <c r="I67"/>
      <c r="J67"/>
    </row>
    <row r="68" spans="2:10" ht="15" customHeight="1" x14ac:dyDescent="0.4">
      <c r="B68"/>
      <c r="C68"/>
      <c r="D68"/>
      <c r="F68"/>
      <c r="I68"/>
      <c r="J68"/>
    </row>
    <row r="69" spans="2:10" ht="15" customHeight="1" x14ac:dyDescent="0.4">
      <c r="B69"/>
      <c r="C69"/>
      <c r="D69"/>
      <c r="F69"/>
      <c r="I69"/>
      <c r="J69"/>
    </row>
    <row r="70" spans="2:10" ht="15" customHeight="1" x14ac:dyDescent="0.4">
      <c r="B70"/>
      <c r="C70"/>
      <c r="D70"/>
      <c r="F70"/>
      <c r="I70"/>
      <c r="J70"/>
    </row>
    <row r="71" spans="2:10" ht="15" customHeight="1" x14ac:dyDescent="0.4">
      <c r="B71"/>
      <c r="C71"/>
      <c r="D71"/>
      <c r="F71"/>
      <c r="I71"/>
      <c r="J71"/>
    </row>
    <row r="72" spans="2:10" ht="15" customHeight="1" x14ac:dyDescent="0.4">
      <c r="B72"/>
      <c r="C72"/>
      <c r="D72"/>
      <c r="F72"/>
      <c r="I72"/>
      <c r="J72"/>
    </row>
    <row r="73" spans="2:10" ht="15" customHeight="1" x14ac:dyDescent="0.4">
      <c r="B73"/>
      <c r="C73"/>
      <c r="D73"/>
      <c r="F73"/>
      <c r="I73"/>
      <c r="J73"/>
    </row>
    <row r="74" spans="2:10" ht="15" customHeight="1" x14ac:dyDescent="0.4">
      <c r="B74"/>
      <c r="C74"/>
      <c r="D74"/>
      <c r="F74"/>
      <c r="I74"/>
      <c r="J74"/>
    </row>
    <row r="75" spans="2:10" x14ac:dyDescent="0.4">
      <c r="B75"/>
      <c r="C75"/>
      <c r="D75"/>
      <c r="F75"/>
      <c r="I75"/>
      <c r="J75"/>
    </row>
    <row r="76" spans="2:10" x14ac:dyDescent="0.4">
      <c r="B76"/>
      <c r="C76"/>
      <c r="D76"/>
      <c r="F76"/>
      <c r="I76"/>
      <c r="J76"/>
    </row>
    <row r="77" spans="2:10" x14ac:dyDescent="0.4">
      <c r="B77"/>
      <c r="C77"/>
      <c r="D77"/>
      <c r="F77"/>
      <c r="I77"/>
      <c r="J77"/>
    </row>
    <row r="78" spans="2:10" x14ac:dyDescent="0.4">
      <c r="B78"/>
      <c r="C78"/>
      <c r="D78"/>
      <c r="F78"/>
      <c r="I78"/>
      <c r="J78"/>
    </row>
    <row r="79" spans="2:10" x14ac:dyDescent="0.4">
      <c r="B79"/>
      <c r="C79"/>
      <c r="D79"/>
      <c r="F79"/>
      <c r="I79"/>
      <c r="J79"/>
    </row>
    <row r="80" spans="2:10" x14ac:dyDescent="0.4">
      <c r="B80"/>
      <c r="C80"/>
      <c r="D80"/>
      <c r="F80"/>
      <c r="I80"/>
      <c r="J80"/>
    </row>
    <row r="81" customFormat="1" x14ac:dyDescent="0.4"/>
    <row r="82" customFormat="1" x14ac:dyDescent="0.4"/>
    <row r="83" customFormat="1" x14ac:dyDescent="0.4"/>
    <row r="84" customFormat="1" x14ac:dyDescent="0.4"/>
    <row r="85" customFormat="1" x14ac:dyDescent="0.4"/>
    <row r="86" customFormat="1" x14ac:dyDescent="0.4"/>
    <row r="87" customFormat="1" x14ac:dyDescent="0.4"/>
    <row r="88" customFormat="1" x14ac:dyDescent="0.4"/>
    <row r="89" customFormat="1" x14ac:dyDescent="0.4"/>
    <row r="90" customFormat="1" x14ac:dyDescent="0.4"/>
    <row r="91" customFormat="1" x14ac:dyDescent="0.4"/>
    <row r="92" customFormat="1" x14ac:dyDescent="0.4"/>
    <row r="93" customFormat="1" x14ac:dyDescent="0.4"/>
    <row r="94" customFormat="1" x14ac:dyDescent="0.4"/>
    <row r="95" customFormat="1" x14ac:dyDescent="0.4"/>
    <row r="96" customFormat="1" x14ac:dyDescent="0.4"/>
    <row r="97" spans="2:10" customFormat="1" x14ac:dyDescent="0.4"/>
    <row r="98" spans="2:10" x14ac:dyDescent="0.4">
      <c r="B98"/>
      <c r="C98"/>
      <c r="D98"/>
      <c r="J98"/>
    </row>
    <row r="99" spans="2:10" x14ac:dyDescent="0.4">
      <c r="B99"/>
      <c r="C99"/>
      <c r="D99"/>
      <c r="J99"/>
    </row>
    <row r="100" spans="2:10" x14ac:dyDescent="0.4">
      <c r="B100"/>
      <c r="C100"/>
      <c r="D100"/>
      <c r="I100" s="24"/>
      <c r="J100"/>
    </row>
    <row r="101" spans="2:10" x14ac:dyDescent="0.4">
      <c r="B101"/>
      <c r="C101"/>
      <c r="D101"/>
      <c r="I101" s="24"/>
      <c r="J101"/>
    </row>
    <row r="102" spans="2:10" x14ac:dyDescent="0.4">
      <c r="B102"/>
      <c r="C102"/>
      <c r="D102"/>
      <c r="I102" s="25"/>
      <c r="J102"/>
    </row>
    <row r="103" spans="2:10" x14ac:dyDescent="0.4">
      <c r="B103"/>
      <c r="C103"/>
      <c r="D103"/>
      <c r="I103" s="25"/>
      <c r="J103"/>
    </row>
    <row r="104" spans="2:10" x14ac:dyDescent="0.4">
      <c r="B104"/>
      <c r="C104"/>
      <c r="D104"/>
      <c r="I104" s="25"/>
      <c r="J104"/>
    </row>
    <row r="105" spans="2:10" ht="15" customHeight="1" x14ac:dyDescent="0.4">
      <c r="B105"/>
      <c r="C105"/>
      <c r="D105"/>
      <c r="I105" s="25"/>
      <c r="J105"/>
    </row>
    <row r="106" spans="2:10" ht="15" customHeight="1" x14ac:dyDescent="0.4">
      <c r="B106"/>
      <c r="C106"/>
      <c r="D106"/>
      <c r="I106" s="25"/>
      <c r="J106"/>
    </row>
    <row r="107" spans="2:10" ht="15" customHeight="1" x14ac:dyDescent="0.4">
      <c r="B107"/>
      <c r="C107"/>
      <c r="D107"/>
      <c r="I107" s="24"/>
      <c r="J107"/>
    </row>
    <row r="108" spans="2:10" ht="15" customHeight="1" x14ac:dyDescent="0.4">
      <c r="B108"/>
      <c r="C108"/>
      <c r="D108"/>
      <c r="I108" s="24"/>
      <c r="J108"/>
    </row>
    <row r="109" spans="2:10" ht="15" customHeight="1" x14ac:dyDescent="0.4">
      <c r="B109"/>
      <c r="C109"/>
      <c r="D109"/>
      <c r="I109" s="24"/>
      <c r="J109"/>
    </row>
    <row r="110" spans="2:10" ht="15" customHeight="1" x14ac:dyDescent="0.4">
      <c r="B110"/>
      <c r="C110"/>
      <c r="D110"/>
      <c r="I110" s="24"/>
      <c r="J110"/>
    </row>
    <row r="111" spans="2:10" ht="15" customHeight="1" x14ac:dyDescent="0.4">
      <c r="B111"/>
      <c r="C111"/>
      <c r="D111"/>
      <c r="I111" s="26"/>
      <c r="J111"/>
    </row>
    <row r="112" spans="2:10" ht="15" customHeight="1" x14ac:dyDescent="0.4">
      <c r="B112"/>
      <c r="C112"/>
      <c r="D112"/>
      <c r="I112" s="27"/>
      <c r="J112"/>
    </row>
    <row r="113" spans="2:10" ht="15" customHeight="1" x14ac:dyDescent="0.4">
      <c r="B113"/>
      <c r="C113"/>
      <c r="D113"/>
      <c r="I113" s="25"/>
      <c r="J113"/>
    </row>
    <row r="114" spans="2:10" ht="15" customHeight="1" x14ac:dyDescent="0.4">
      <c r="B114"/>
      <c r="C114"/>
      <c r="D114"/>
      <c r="I114" s="25"/>
      <c r="J114"/>
    </row>
    <row r="115" spans="2:10" x14ac:dyDescent="0.4">
      <c r="B115"/>
      <c r="C115"/>
      <c r="D115"/>
      <c r="I115" s="25"/>
      <c r="J115"/>
    </row>
    <row r="116" spans="2:10" ht="15" customHeight="1" x14ac:dyDescent="0.4">
      <c r="B116"/>
      <c r="C116"/>
      <c r="D116"/>
      <c r="I116" s="24"/>
      <c r="J116"/>
    </row>
    <row r="117" spans="2:10" x14ac:dyDescent="0.4">
      <c r="B117"/>
      <c r="C117"/>
      <c r="D117"/>
      <c r="I117" s="25"/>
      <c r="J117"/>
    </row>
    <row r="118" spans="2:10" ht="15" customHeight="1" x14ac:dyDescent="0.4">
      <c r="B118"/>
      <c r="C118"/>
      <c r="D118"/>
      <c r="I118" s="25"/>
      <c r="J118"/>
    </row>
    <row r="119" spans="2:10" ht="15" customHeight="1" x14ac:dyDescent="0.4">
      <c r="I119" s="28"/>
      <c r="J119"/>
    </row>
    <row r="120" spans="2:10" ht="15" customHeight="1" x14ac:dyDescent="0.4">
      <c r="I120" s="29"/>
      <c r="J120"/>
    </row>
    <row r="121" spans="2:10" ht="15" customHeight="1" x14ac:dyDescent="0.4">
      <c r="I121" s="29"/>
      <c r="J121"/>
    </row>
    <row r="122" spans="2:10" ht="15" customHeight="1" x14ac:dyDescent="0.4">
      <c r="I122" s="29"/>
      <c r="J122"/>
    </row>
    <row r="123" spans="2:10" ht="15" customHeight="1" x14ac:dyDescent="0.4">
      <c r="I123" s="28"/>
      <c r="J123"/>
    </row>
    <row r="124" spans="2:10" ht="15" customHeight="1" x14ac:dyDescent="0.4">
      <c r="I124" s="25"/>
      <c r="J124"/>
    </row>
    <row r="125" spans="2:10" x14ac:dyDescent="0.4">
      <c r="I125" s="24"/>
      <c r="J125"/>
    </row>
    <row r="126" spans="2:10" ht="15" customHeight="1" x14ac:dyDescent="0.4">
      <c r="I126" s="24"/>
      <c r="J126"/>
    </row>
    <row r="127" spans="2:10" ht="15" customHeight="1" x14ac:dyDescent="0.4">
      <c r="I127" s="24"/>
      <c r="J127"/>
    </row>
    <row r="128" spans="2:10" ht="15" customHeight="1" x14ac:dyDescent="0.4">
      <c r="I128" s="24"/>
      <c r="J128"/>
    </row>
    <row r="129" spans="2:10" x14ac:dyDescent="0.4">
      <c r="I129" s="26"/>
      <c r="J129"/>
    </row>
    <row r="130" spans="2:10" ht="15" customHeight="1" x14ac:dyDescent="0.4">
      <c r="B130"/>
      <c r="C130"/>
      <c r="D130"/>
      <c r="F130"/>
      <c r="I130" s="27"/>
      <c r="J130"/>
    </row>
    <row r="131" spans="2:10" ht="15" customHeight="1" x14ac:dyDescent="0.4">
      <c r="B131"/>
      <c r="C131"/>
      <c r="D131"/>
      <c r="F131"/>
      <c r="I131" s="25"/>
      <c r="J131"/>
    </row>
    <row r="132" spans="2:10" ht="15" customHeight="1" x14ac:dyDescent="0.4">
      <c r="B132"/>
      <c r="C132"/>
      <c r="D132"/>
      <c r="F132"/>
      <c r="I132" s="25"/>
      <c r="J132"/>
    </row>
    <row r="133" spans="2:10" ht="15" customHeight="1" x14ac:dyDescent="0.4">
      <c r="B133"/>
      <c r="C133"/>
      <c r="D133"/>
      <c r="F133"/>
      <c r="I133" s="25"/>
      <c r="J133"/>
    </row>
    <row r="134" spans="2:10" x14ac:dyDescent="0.4">
      <c r="B134"/>
      <c r="C134"/>
      <c r="D134"/>
      <c r="F134"/>
      <c r="I134" s="24"/>
      <c r="J134"/>
    </row>
    <row r="135" spans="2:10" ht="15" customHeight="1" x14ac:dyDescent="0.4">
      <c r="B135"/>
      <c r="C135"/>
      <c r="D135"/>
      <c r="F135"/>
      <c r="I135" s="25"/>
      <c r="J135"/>
    </row>
    <row r="136" spans="2:10" ht="15" customHeight="1" x14ac:dyDescent="0.4">
      <c r="B136"/>
      <c r="C136"/>
      <c r="D136"/>
      <c r="F136"/>
      <c r="I136" s="25"/>
      <c r="J136"/>
    </row>
    <row r="137" spans="2:10" ht="15" customHeight="1" x14ac:dyDescent="0.4">
      <c r="B137"/>
      <c r="C137"/>
      <c r="D137"/>
      <c r="F137"/>
      <c r="I137" s="28"/>
      <c r="J137"/>
    </row>
    <row r="138" spans="2:10" x14ac:dyDescent="0.4">
      <c r="B138"/>
      <c r="C138"/>
      <c r="D138"/>
      <c r="F138"/>
      <c r="I138" s="29"/>
      <c r="J138"/>
    </row>
    <row r="139" spans="2:10" ht="15" customHeight="1" x14ac:dyDescent="0.4">
      <c r="B139"/>
      <c r="C139"/>
      <c r="D139"/>
      <c r="F139"/>
      <c r="I139" s="29"/>
      <c r="J139"/>
    </row>
    <row r="140" spans="2:10" ht="15" customHeight="1" x14ac:dyDescent="0.4">
      <c r="B140"/>
      <c r="C140"/>
      <c r="D140"/>
      <c r="F140"/>
      <c r="I140" s="29"/>
      <c r="J140"/>
    </row>
    <row r="141" spans="2:10" ht="15" customHeight="1" x14ac:dyDescent="0.4">
      <c r="B141"/>
      <c r="C141"/>
      <c r="D141"/>
      <c r="F141"/>
      <c r="I141" s="25"/>
      <c r="J141"/>
    </row>
    <row r="142" spans="2:10" ht="15" customHeight="1" x14ac:dyDescent="0.4">
      <c r="B142"/>
      <c r="C142"/>
      <c r="D142"/>
      <c r="F142"/>
      <c r="I142" s="24"/>
      <c r="J142"/>
    </row>
    <row r="143" spans="2:10" ht="15" customHeight="1" x14ac:dyDescent="0.4">
      <c r="B143"/>
      <c r="C143"/>
      <c r="D143"/>
      <c r="F143"/>
      <c r="I143" s="24"/>
      <c r="J143"/>
    </row>
    <row r="144" spans="2:10" ht="15" customHeight="1" x14ac:dyDescent="0.4">
      <c r="B144"/>
      <c r="C144"/>
      <c r="D144"/>
      <c r="F144"/>
      <c r="I144" s="24"/>
      <c r="J144"/>
    </row>
    <row r="145" spans="9:9" customFormat="1" ht="15" customHeight="1" x14ac:dyDescent="0.4">
      <c r="I145" s="24"/>
    </row>
    <row r="146" spans="9:9" customFormat="1" ht="15" customHeight="1" x14ac:dyDescent="0.4">
      <c r="I146" s="26"/>
    </row>
    <row r="147" spans="9:9" customFormat="1" ht="15" customHeight="1" x14ac:dyDescent="0.4">
      <c r="I147" s="27"/>
    </row>
    <row r="148" spans="9:9" customFormat="1" ht="15" customHeight="1" x14ac:dyDescent="0.4">
      <c r="I148" s="25"/>
    </row>
    <row r="149" spans="9:9" customFormat="1" ht="15" customHeight="1" x14ac:dyDescent="0.4">
      <c r="I149" s="25"/>
    </row>
    <row r="150" spans="9:9" customFormat="1" ht="15" customHeight="1" x14ac:dyDescent="0.4">
      <c r="I150" s="25"/>
    </row>
    <row r="151" spans="9:9" customFormat="1" x14ac:dyDescent="0.4">
      <c r="I151" s="24"/>
    </row>
    <row r="152" spans="9:9" customFormat="1" x14ac:dyDescent="0.4">
      <c r="I152" s="25"/>
    </row>
    <row r="153" spans="9:9" customFormat="1" x14ac:dyDescent="0.4">
      <c r="I153" s="25"/>
    </row>
    <row r="154" spans="9:9" customFormat="1" x14ac:dyDescent="0.4">
      <c r="I154" s="28"/>
    </row>
    <row r="155" spans="9:9" customFormat="1" x14ac:dyDescent="0.4">
      <c r="I155" s="29"/>
    </row>
    <row r="156" spans="9:9" customFormat="1" x14ac:dyDescent="0.4">
      <c r="I156" s="29"/>
    </row>
    <row r="157" spans="9:9" customFormat="1" x14ac:dyDescent="0.4">
      <c r="I157" s="29"/>
    </row>
    <row r="158" spans="9:9" customFormat="1" x14ac:dyDescent="0.4">
      <c r="I158" s="28"/>
    </row>
    <row r="159" spans="9:9" customFormat="1" x14ac:dyDescent="0.4">
      <c r="I159" s="25"/>
    </row>
    <row r="160" spans="9:9" customFormat="1" x14ac:dyDescent="0.4">
      <c r="I160" s="24"/>
    </row>
    <row r="161" spans="9:9" customFormat="1" x14ac:dyDescent="0.4">
      <c r="I161" s="24"/>
    </row>
    <row r="162" spans="9:9" customFormat="1" x14ac:dyDescent="0.4">
      <c r="I162" s="24"/>
    </row>
    <row r="163" spans="9:9" customFormat="1" x14ac:dyDescent="0.4">
      <c r="I163" s="24"/>
    </row>
    <row r="164" spans="9:9" customFormat="1" x14ac:dyDescent="0.4">
      <c r="I164" s="26"/>
    </row>
    <row r="165" spans="9:9" customFormat="1" x14ac:dyDescent="0.4">
      <c r="I165" s="27"/>
    </row>
    <row r="166" spans="9:9" customFormat="1" x14ac:dyDescent="0.4">
      <c r="I166" s="25"/>
    </row>
    <row r="167" spans="9:9" customFormat="1" x14ac:dyDescent="0.4">
      <c r="I167" s="25"/>
    </row>
    <row r="168" spans="9:9" customFormat="1" x14ac:dyDescent="0.4">
      <c r="I168" s="25"/>
    </row>
    <row r="169" spans="9:9" customFormat="1" x14ac:dyDescent="0.4">
      <c r="I169" s="24"/>
    </row>
    <row r="170" spans="9:9" customFormat="1" x14ac:dyDescent="0.4">
      <c r="I170" s="25"/>
    </row>
    <row r="171" spans="9:9" customFormat="1" x14ac:dyDescent="0.4">
      <c r="I171" s="25"/>
    </row>
    <row r="172" spans="9:9" customFormat="1" x14ac:dyDescent="0.4">
      <c r="I172" s="28"/>
    </row>
    <row r="173" spans="9:9" customFormat="1" x14ac:dyDescent="0.4">
      <c r="I173" s="29"/>
    </row>
    <row r="174" spans="9:9" customFormat="1" x14ac:dyDescent="0.4">
      <c r="I174" s="29"/>
    </row>
    <row r="175" spans="9:9" customFormat="1" x14ac:dyDescent="0.4">
      <c r="I175" s="29"/>
    </row>
    <row r="176" spans="9:9" customFormat="1" x14ac:dyDescent="0.4">
      <c r="I176" s="28"/>
    </row>
  </sheetData>
  <sheetProtection algorithmName="SHA-512" hashValue="MUzGd2Xedse0j0Qq5Si3hRblh44sXc9xiLwiZgY1wopM5StdrJ/2Fpyg9/Egfpyvuk8WwcUNv4LYzio0ZMQuEA==" saltValue="C3uDa8yfLZFb6rXGWC/KEg==" spinCount="100000" sheet="1" selectLockedCells="1"/>
  <dataConsolidate/>
  <mergeCells count="21">
    <mergeCell ref="U34:AE34"/>
    <mergeCell ref="U35:AE36"/>
    <mergeCell ref="U37:AE37"/>
    <mergeCell ref="U38:AE38"/>
    <mergeCell ref="K6:S6"/>
    <mergeCell ref="U6:AE6"/>
    <mergeCell ref="U7:AE29"/>
    <mergeCell ref="V31:Y32"/>
    <mergeCell ref="Z31:Z32"/>
    <mergeCell ref="AA31:AB31"/>
    <mergeCell ref="AC31:AD31"/>
    <mergeCell ref="AA32:AB32"/>
    <mergeCell ref="AC32:AD32"/>
    <mergeCell ref="I5:J5"/>
    <mergeCell ref="O5:P5"/>
    <mergeCell ref="U5:AE5"/>
    <mergeCell ref="B3:C3"/>
    <mergeCell ref="E3:G3"/>
    <mergeCell ref="K3:L3"/>
    <mergeCell ref="P3:R3"/>
    <mergeCell ref="V3:AD3"/>
  </mergeCells>
  <conditionalFormatting sqref="S15:S18 S9:S13 S25:S29">
    <cfRule type="cellIs" dxfId="115" priority="66" operator="equal">
      <formula>0</formula>
    </cfRule>
  </conditionalFormatting>
  <conditionalFormatting sqref="S17 S19 S21:S22">
    <cfRule type="cellIs" dxfId="114" priority="65" operator="equal">
      <formula>0</formula>
    </cfRule>
  </conditionalFormatting>
  <conditionalFormatting sqref="S27">
    <cfRule type="cellIs" dxfId="113" priority="63" operator="equal">
      <formula>0</formula>
    </cfRule>
  </conditionalFormatting>
  <conditionalFormatting sqref="S24">
    <cfRule type="cellIs" dxfId="112" priority="60" operator="equal">
      <formula>0</formula>
    </cfRule>
  </conditionalFormatting>
  <conditionalFormatting sqref="S25">
    <cfRule type="cellIs" dxfId="111" priority="61" operator="equal">
      <formula>0</formula>
    </cfRule>
  </conditionalFormatting>
  <conditionalFormatting sqref="S23">
    <cfRule type="cellIs" dxfId="110" priority="59" operator="equal">
      <formula>0</formula>
    </cfRule>
  </conditionalFormatting>
  <conditionalFormatting sqref="S20">
    <cfRule type="cellIs" dxfId="109" priority="58" operator="equal">
      <formula>0</formula>
    </cfRule>
  </conditionalFormatting>
  <conditionalFormatting sqref="S18">
    <cfRule type="cellIs" dxfId="108" priority="57" operator="equal">
      <formula>0</formula>
    </cfRule>
  </conditionalFormatting>
  <conditionalFormatting sqref="S14">
    <cfRule type="cellIs" dxfId="107" priority="56" operator="equal">
      <formula>0</formula>
    </cfRule>
  </conditionalFormatting>
  <conditionalFormatting sqref="S8">
    <cfRule type="cellIs" dxfId="106" priority="55" operator="equal">
      <formula>0</formula>
    </cfRule>
  </conditionalFormatting>
  <conditionalFormatting sqref="S7">
    <cfRule type="cellIs" dxfId="105" priority="54" operator="equal">
      <formula>0</formula>
    </cfRule>
  </conditionalFormatting>
  <conditionalFormatting sqref="S30">
    <cfRule type="cellIs" dxfId="104" priority="53" operator="equal">
      <formula>0</formula>
    </cfRule>
  </conditionalFormatting>
  <conditionalFormatting sqref="S26">
    <cfRule type="cellIs" dxfId="103" priority="30" operator="equal">
      <formula>0</formula>
    </cfRule>
  </conditionalFormatting>
  <conditionalFormatting sqref="S23">
    <cfRule type="cellIs" dxfId="102" priority="27" operator="equal">
      <formula>0</formula>
    </cfRule>
  </conditionalFormatting>
  <conditionalFormatting sqref="S30">
    <cfRule type="cellIs" dxfId="101" priority="29" operator="equal">
      <formula>0</formula>
    </cfRule>
  </conditionalFormatting>
  <conditionalFormatting sqref="S24">
    <cfRule type="cellIs" dxfId="100" priority="28" operator="equal">
      <formula>0</formula>
    </cfRule>
  </conditionalFormatting>
  <conditionalFormatting sqref="S22">
    <cfRule type="cellIs" dxfId="99" priority="26" operator="equal">
      <formula>0</formula>
    </cfRule>
  </conditionalFormatting>
  <conditionalFormatting sqref="S29">
    <cfRule type="cellIs" dxfId="98" priority="25" operator="equal">
      <formula>0</formula>
    </cfRule>
  </conditionalFormatting>
  <conditionalFormatting sqref="S33">
    <cfRule type="cellIs" dxfId="97" priority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8" scale="80" orientation="landscape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00000000-0002-0000-0000-000000000000}">
          <x14:formula1>
            <xm:f>'Product List'!$K$3:$M$3</xm:f>
          </x14:formula1>
          <xm:sqref>N3</xm:sqref>
        </x14:dataValidation>
        <x14:dataValidation type="list" allowBlank="1" showInputMessage="1" showErrorMessage="1" xr:uid="{00000000-0002-0000-0000-000001000000}">
          <x14:formula1>
            <xm:f>'Product List'!$O$5:$O$25</xm:f>
          </x14:formula1>
          <xm:sqref>S3</xm:sqref>
        </x14:dataValidation>
        <x14:dataValidation type="list" allowBlank="1" showInputMessage="1" showErrorMessage="1" xr:uid="{00000000-0002-0000-0000-000002000000}">
          <x14:formula1>
            <xm:f>'Product List'!$B$50:$B$60</xm:f>
          </x14:formula1>
          <xm:sqref>G29:G30</xm:sqref>
        </x14:dataValidation>
        <x14:dataValidation type="list" allowBlank="1" showInputMessage="1" showErrorMessage="1" xr:uid="{00000000-0002-0000-0000-000003000000}">
          <x14:formula1>
            <xm:f>'Product List'!$B$38:$B$41</xm:f>
          </x14:formula1>
          <xm:sqref>G13</xm:sqref>
        </x14:dataValidation>
        <x14:dataValidation type="list" allowBlank="1" showInputMessage="1" showErrorMessage="1" xr:uid="{00000000-0002-0000-0000-000004000000}">
          <x14:formula1>
            <xm:f>'Product List'!$B$27:$B$29</xm:f>
          </x14:formula1>
          <xm:sqref>G27:G28</xm:sqref>
        </x14:dataValidation>
        <x14:dataValidation type="list" allowBlank="1" showInputMessage="1" showErrorMessage="1" xr:uid="{00000000-0002-0000-0000-000005000000}">
          <x14:formula1>
            <xm:f>'Product List'!$B$24:$B$26</xm:f>
          </x14:formula1>
          <xm:sqref>G23:G26</xm:sqref>
        </x14:dataValidation>
        <x14:dataValidation type="list" allowBlank="1" showInputMessage="1" showErrorMessage="1" xr:uid="{00000000-0002-0000-0000-000006000000}">
          <x14:formula1>
            <xm:f>'Product List'!$B$15:$B$21</xm:f>
          </x14:formula1>
          <xm:sqref>G19:G22</xm:sqref>
        </x14:dataValidation>
        <x14:dataValidation type="list" allowBlank="1" showInputMessage="1" showErrorMessage="1" promptTitle="SELECT" xr:uid="{00000000-0002-0000-0000-000007000000}">
          <x14:formula1>
            <xm:f>'Product List'!$B$5:$B$14</xm:f>
          </x14:formula1>
          <xm:sqref>G17:G18</xm:sqref>
        </x14:dataValidation>
        <x14:dataValidation type="list" allowBlank="1" showInputMessage="1" showErrorMessage="1" xr:uid="{00000000-0002-0000-0000-000008000000}">
          <x14:formula1>
            <xm:f>'Product List'!$B$46:$B$49</xm:f>
          </x14:formula1>
          <xm:sqref>G14</xm:sqref>
        </x14:dataValidation>
        <x14:dataValidation type="list" allowBlank="1" showInputMessage="1" showErrorMessage="1" xr:uid="{00000000-0002-0000-0000-000009000000}">
          <x14:formula1>
            <xm:f>'Product List'!$B$42:$B$45</xm:f>
          </x14:formula1>
          <xm:sqref>G15:G16</xm:sqref>
        </x14:dataValidation>
        <x14:dataValidation type="list" allowBlank="1" showInputMessage="1" showErrorMessage="1" xr:uid="{00000000-0002-0000-0000-00000A000000}">
          <x14:formula1>
            <xm:f>'Product List'!$B$30:$B$38</xm:f>
          </x14:formula1>
          <xm:sqref>G7:G12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 filterMode="1">
    <tabColor theme="3" tint="-0.249977111117893"/>
  </sheetPr>
  <dimension ref="A1:K278"/>
  <sheetViews>
    <sheetView workbookViewId="0">
      <selection activeCell="G36" sqref="G36"/>
    </sheetView>
  </sheetViews>
  <sheetFormatPr defaultRowHeight="14.6" x14ac:dyDescent="0.4"/>
  <cols>
    <col min="1" max="1" width="13.3828125" customWidth="1"/>
    <col min="2" max="2" width="40.3046875" customWidth="1"/>
    <col min="3" max="3" width="15.69140625" style="19" customWidth="1"/>
    <col min="4" max="4" width="9.15234375" style="20"/>
    <col min="5" max="5" width="5.69140625" customWidth="1"/>
    <col min="6" max="6" width="6.69140625" customWidth="1"/>
    <col min="7" max="7" width="17.69140625" style="20" customWidth="1"/>
    <col min="8" max="9" width="6.69140625" customWidth="1"/>
    <col min="10" max="10" width="17.69140625" customWidth="1"/>
    <col min="11" max="11" width="13.3828125" customWidth="1"/>
  </cols>
  <sheetData>
    <row r="1" spans="1:11" x14ac:dyDescent="0.4">
      <c r="A1" s="3"/>
      <c r="B1" s="3"/>
      <c r="D1" s="19"/>
      <c r="E1" s="3"/>
      <c r="F1" s="3"/>
      <c r="G1" s="19"/>
      <c r="H1" s="3"/>
      <c r="I1" s="3"/>
      <c r="J1" s="3"/>
      <c r="K1" s="3"/>
    </row>
    <row r="2" spans="1:11" x14ac:dyDescent="0.4">
      <c r="A2" s="3"/>
      <c r="B2" s="280" t="s">
        <v>163</v>
      </c>
      <c r="C2" s="281"/>
      <c r="D2" s="281"/>
      <c r="E2" s="52"/>
      <c r="F2" s="280" t="s">
        <v>172</v>
      </c>
      <c r="G2" s="279"/>
      <c r="H2" s="281"/>
      <c r="I2" s="281"/>
      <c r="J2" s="281"/>
      <c r="K2" s="3"/>
    </row>
    <row r="3" spans="1:11" x14ac:dyDescent="0.4">
      <c r="A3" s="3"/>
      <c r="B3" s="279" t="str">
        <f>"VVP200-020-000_" &amp; '1 Stand Configurator'!E3</f>
        <v>VVP200-020-000_Enter Company Name</v>
      </c>
      <c r="C3" s="281"/>
      <c r="D3" s="281"/>
      <c r="E3" s="52"/>
      <c r="F3" s="279" t="s">
        <v>180</v>
      </c>
      <c r="G3" s="282"/>
      <c r="H3" s="282"/>
      <c r="I3" s="282"/>
      <c r="J3" s="282"/>
      <c r="K3" s="3"/>
    </row>
    <row r="4" spans="1:11" x14ac:dyDescent="0.4">
      <c r="A4" s="3"/>
      <c r="B4" s="19"/>
      <c r="C4" s="3"/>
      <c r="D4" s="3"/>
      <c r="E4" s="3"/>
      <c r="F4" s="3"/>
      <c r="G4" s="19"/>
      <c r="H4" s="3"/>
      <c r="I4" s="3"/>
      <c r="J4" s="3"/>
      <c r="K4" s="3"/>
    </row>
    <row r="5" spans="1:11" x14ac:dyDescent="0.4">
      <c r="A5" s="3"/>
      <c r="B5" s="186" t="s">
        <v>182</v>
      </c>
      <c r="C5" s="9" t="s">
        <v>53</v>
      </c>
      <c r="D5" s="18" t="s">
        <v>159</v>
      </c>
      <c r="E5" s="52"/>
      <c r="F5" s="52"/>
      <c r="G5" s="5"/>
      <c r="H5" s="52"/>
      <c r="I5" s="52"/>
      <c r="J5" s="52"/>
      <c r="K5" s="3"/>
    </row>
    <row r="6" spans="1:11" ht="5.15" customHeight="1" x14ac:dyDescent="0.4">
      <c r="A6" s="3"/>
      <c r="B6" s="5"/>
      <c r="C6" s="52"/>
      <c r="D6" s="52"/>
      <c r="E6" s="52"/>
      <c r="F6" s="52"/>
      <c r="G6" s="5"/>
      <c r="H6" s="52"/>
      <c r="I6" s="52"/>
      <c r="J6" s="52"/>
      <c r="K6" s="3"/>
    </row>
    <row r="7" spans="1:11" x14ac:dyDescent="0.4">
      <c r="A7" s="3"/>
      <c r="B7" s="187" t="s">
        <v>170</v>
      </c>
      <c r="C7" s="41" t="s">
        <v>169</v>
      </c>
      <c r="D7" s="41">
        <f>SUM(1*'1 Stand Configurator'!Z31)</f>
        <v>1</v>
      </c>
      <c r="E7" s="52"/>
      <c r="F7" s="52"/>
      <c r="G7" s="52"/>
      <c r="H7" s="52"/>
      <c r="I7" s="52"/>
      <c r="J7" s="52"/>
      <c r="K7" s="3"/>
    </row>
    <row r="8" spans="1:11" x14ac:dyDescent="0.4">
      <c r="A8" s="3"/>
      <c r="B8" s="188" t="s">
        <v>173</v>
      </c>
      <c r="C8" s="41" t="s">
        <v>179</v>
      </c>
      <c r="D8" s="38">
        <f>SUM(1*'1 Stand Configurator'!Z31)</f>
        <v>1</v>
      </c>
      <c r="E8" s="52"/>
      <c r="F8" s="52"/>
      <c r="G8" s="5"/>
      <c r="H8" s="52"/>
      <c r="I8" s="52"/>
      <c r="J8" s="52"/>
      <c r="K8" s="3"/>
    </row>
    <row r="9" spans="1:11" ht="15" customHeight="1" x14ac:dyDescent="0.4">
      <c r="A9" s="3"/>
      <c r="B9" s="187" t="s">
        <v>165</v>
      </c>
      <c r="C9" s="41" t="s">
        <v>164</v>
      </c>
      <c r="D9" s="41">
        <f>SUM(2*'1 Stand Configurator'!Z31)</f>
        <v>2</v>
      </c>
      <c r="E9" s="52"/>
      <c r="F9" s="52"/>
      <c r="G9" s="5"/>
      <c r="H9" s="52"/>
      <c r="I9" s="52"/>
      <c r="J9" s="52"/>
      <c r="K9" s="3"/>
    </row>
    <row r="10" spans="1:11" ht="15" hidden="1" customHeight="1" x14ac:dyDescent="0.4">
      <c r="A10" s="3"/>
      <c r="B10" s="187" t="s">
        <v>167</v>
      </c>
      <c r="C10" s="41" t="s">
        <v>166</v>
      </c>
      <c r="D10" s="41">
        <f>SUM(0*'1 Stand Configurator'!Z31)</f>
        <v>0</v>
      </c>
      <c r="E10" s="52"/>
      <c r="F10" s="52"/>
      <c r="G10" s="5"/>
      <c r="H10" s="52"/>
      <c r="I10" s="52"/>
      <c r="J10" s="52"/>
      <c r="K10" s="3"/>
    </row>
    <row r="11" spans="1:11" ht="15" customHeight="1" x14ac:dyDescent="0.4">
      <c r="A11" s="3"/>
      <c r="B11" s="187" t="s">
        <v>171</v>
      </c>
      <c r="C11" s="41" t="s">
        <v>168</v>
      </c>
      <c r="D11" s="41">
        <f>SUM(1*'1 Stand Configurator'!Z31)</f>
        <v>1</v>
      </c>
      <c r="E11" s="52"/>
      <c r="F11" s="52"/>
      <c r="G11" s="5"/>
      <c r="H11" s="52"/>
      <c r="I11" s="52"/>
      <c r="J11" s="52"/>
      <c r="K11" s="3"/>
    </row>
    <row r="12" spans="1:11" ht="15" customHeight="1" x14ac:dyDescent="0.4">
      <c r="A12" s="3"/>
      <c r="B12" s="52"/>
      <c r="C12" s="52"/>
      <c r="D12" s="5"/>
      <c r="E12" s="52"/>
      <c r="F12" s="52"/>
      <c r="G12" s="52"/>
      <c r="H12" s="52"/>
      <c r="I12" s="52"/>
      <c r="J12" s="52"/>
      <c r="K12" s="3"/>
    </row>
    <row r="13" spans="1:11" ht="15" customHeight="1" x14ac:dyDescent="0.4">
      <c r="A13" s="3"/>
      <c r="B13" s="39" t="s">
        <v>0</v>
      </c>
      <c r="C13" s="9" t="s">
        <v>53</v>
      </c>
      <c r="D13" s="18" t="s">
        <v>159</v>
      </c>
      <c r="E13" s="52"/>
      <c r="F13" s="52"/>
      <c r="G13" s="5"/>
      <c r="H13" s="52"/>
      <c r="I13" s="52"/>
      <c r="J13" s="52"/>
      <c r="K13" s="3"/>
    </row>
    <row r="14" spans="1:11" ht="5.15" customHeight="1" x14ac:dyDescent="0.4">
      <c r="A14" s="3"/>
      <c r="B14" s="189"/>
      <c r="C14" s="190"/>
      <c r="D14" s="5"/>
      <c r="E14" s="52"/>
      <c r="F14" s="52"/>
      <c r="G14" s="5"/>
      <c r="H14" s="52"/>
      <c r="I14" s="52"/>
      <c r="J14" s="52"/>
      <c r="K14" s="3"/>
    </row>
    <row r="15" spans="1:11" ht="15" customHeight="1" x14ac:dyDescent="0.4">
      <c r="A15" s="3"/>
      <c r="B15" s="42" t="str">
        <f>'1 Stand Configurator'!G7</f>
        <v>Stealth8000 Safety Spectacles - Clear</v>
      </c>
      <c r="C15" s="41" t="str">
        <f>'1 Stand Configurator'!B7</f>
        <v>ASA790-161-300</v>
      </c>
      <c r="D15" s="41">
        <f>SUM('1 Stand Configurator'!N7*'1 Stand Configurator'!Z31)</f>
        <v>10</v>
      </c>
      <c r="E15" s="52"/>
      <c r="F15" s="52"/>
      <c r="G15" s="219"/>
      <c r="H15" s="52"/>
      <c r="I15" s="52"/>
      <c r="J15" s="52"/>
      <c r="K15" s="3"/>
    </row>
    <row r="16" spans="1:11" ht="15" customHeight="1" x14ac:dyDescent="0.4">
      <c r="A16" s="3"/>
      <c r="B16" s="42" t="str">
        <f>'1 Stand Configurator'!G8</f>
        <v>Stealth8000 Safety Spectacles - Amber</v>
      </c>
      <c r="C16" s="41" t="str">
        <f>'1 Stand Configurator'!B8</f>
        <v>ASA790-161-200</v>
      </c>
      <c r="D16" s="41">
        <f>SUM('1 Stand Configurator'!N8*'1 Stand Configurator'!Z31)</f>
        <v>10</v>
      </c>
      <c r="E16" s="52"/>
      <c r="F16" s="52"/>
      <c r="G16" s="5"/>
      <c r="H16" s="52"/>
      <c r="I16" s="52"/>
      <c r="J16" s="52"/>
      <c r="K16" s="3"/>
    </row>
    <row r="17" spans="1:11" ht="15" customHeight="1" x14ac:dyDescent="0.4">
      <c r="A17" s="3"/>
      <c r="B17" s="42" t="str">
        <f>'1 Stand Configurator'!G9</f>
        <v>Stealth8000 Safety Spectacles - Smoke</v>
      </c>
      <c r="C17" s="41" t="str">
        <f>'1 Stand Configurator'!B9</f>
        <v>ASA790-166-400</v>
      </c>
      <c r="D17" s="41">
        <f>SUM('1 Stand Configurator'!N9*'1 Stand Configurator'!Z31)</f>
        <v>10</v>
      </c>
      <c r="E17" s="52"/>
      <c r="F17" s="52"/>
      <c r="G17" s="5"/>
      <c r="H17" s="52"/>
      <c r="I17" s="52"/>
      <c r="J17" s="52"/>
      <c r="K17" s="3"/>
    </row>
    <row r="18" spans="1:11" ht="15" customHeight="1" x14ac:dyDescent="0.4">
      <c r="A18" s="3"/>
      <c r="B18" s="42" t="str">
        <f>'1 Stand Configurator'!G10</f>
        <v>Stealth16g Safety Spectacles - Clear</v>
      </c>
      <c r="C18" s="41" t="str">
        <f>'1 Stand Configurator'!B10</f>
        <v>ASA920-161-300</v>
      </c>
      <c r="D18" s="41">
        <f>SUM('1 Stand Configurator'!N10*'1 Stand Configurator'!Z31)</f>
        <v>10</v>
      </c>
      <c r="E18" s="52"/>
      <c r="F18" s="52"/>
      <c r="G18" s="5"/>
      <c r="H18" s="52"/>
      <c r="I18" s="52"/>
      <c r="J18" s="52"/>
      <c r="K18" s="3"/>
    </row>
    <row r="19" spans="1:11" ht="15" customHeight="1" x14ac:dyDescent="0.4">
      <c r="A19" s="3"/>
      <c r="B19" s="42" t="str">
        <f>'1 Stand Configurator'!G11</f>
        <v>Stealth16g Safety Spectacles - Amber</v>
      </c>
      <c r="C19" s="41" t="str">
        <f>'1 Stand Configurator'!B11</f>
        <v>ASA920-161-200</v>
      </c>
      <c r="D19" s="41">
        <f>SUM('1 Stand Configurator'!N11*'1 Stand Configurator'!Z31)</f>
        <v>10</v>
      </c>
      <c r="E19" s="52"/>
      <c r="F19" s="52"/>
      <c r="G19" s="5"/>
      <c r="H19" s="52"/>
      <c r="I19" s="52"/>
      <c r="J19" s="52"/>
      <c r="K19" s="3"/>
    </row>
    <row r="20" spans="1:11" ht="15" customHeight="1" x14ac:dyDescent="0.4">
      <c r="A20" s="3"/>
      <c r="B20" s="42" t="str">
        <f>'1 Stand Configurator'!G12</f>
        <v>Stealth16g Safety Spectacles - Smoke</v>
      </c>
      <c r="C20" s="41" t="str">
        <f>'1 Stand Configurator'!B12</f>
        <v>ASA920-163-000</v>
      </c>
      <c r="D20" s="41">
        <f>SUM('1 Stand Configurator'!N12*'1 Stand Configurator'!Z31)</f>
        <v>10</v>
      </c>
      <c r="E20" s="52"/>
      <c r="F20" s="52"/>
      <c r="G20" s="5"/>
      <c r="H20" s="52"/>
      <c r="I20" s="52"/>
      <c r="J20" s="52"/>
      <c r="K20" s="3"/>
    </row>
    <row r="21" spans="1:11" ht="15" customHeight="1" x14ac:dyDescent="0.4">
      <c r="A21" s="3"/>
      <c r="B21" s="42" t="str">
        <f>'1 Stand Configurator'!G13</f>
        <v>EVOGoggle - Safety Goggle</v>
      </c>
      <c r="C21" s="41" t="str">
        <f>'1 Stand Configurator'!B13</f>
        <v>AGM020-623-000</v>
      </c>
      <c r="D21" s="41">
        <f>SUM('1 Stand Configurator'!N13*'1 Stand Configurator'!Z31)</f>
        <v>10</v>
      </c>
      <c r="E21" s="52"/>
      <c r="F21" s="52"/>
      <c r="G21" s="5"/>
      <c r="H21" s="52"/>
      <c r="I21" s="52"/>
      <c r="J21" s="52"/>
      <c r="K21" s="3"/>
    </row>
    <row r="22" spans="1:11" ht="15" customHeight="1" x14ac:dyDescent="0.4">
      <c r="A22" s="3"/>
      <c r="B22" s="42" t="str">
        <f>'1 Stand Configurator'!G14</f>
        <v>SoundStopper Banded Ear Plug</v>
      </c>
      <c r="C22" s="41" t="str">
        <f>'1 Stand Configurator'!B14</f>
        <v>AEE090-070-21X</v>
      </c>
      <c r="D22" s="41">
        <f>SUM('1 Stand Configurator'!N14*'1 Stand Configurator'!Z31)</f>
        <v>40</v>
      </c>
      <c r="E22" s="52"/>
      <c r="F22" s="52"/>
      <c r="G22" s="5"/>
      <c r="H22" s="52"/>
      <c r="I22" s="52"/>
      <c r="J22" s="52"/>
      <c r="K22" s="3"/>
    </row>
    <row r="23" spans="1:11" ht="15" customHeight="1" x14ac:dyDescent="0.4">
      <c r="A23" s="3"/>
      <c r="B23" s="42" t="str">
        <f>'1 Stand Configurator'!G15</f>
        <v>SonisC Headbanded Ear defender - SNR 32</v>
      </c>
      <c r="C23" s="41" t="str">
        <f>'1 Stand Configurator'!B15</f>
        <v>AEB030-0AY-000</v>
      </c>
      <c r="D23" s="41">
        <f>SUM('1 Stand Configurator'!N15*'1 Stand Configurator'!Z31)</f>
        <v>10</v>
      </c>
      <c r="E23" s="52"/>
      <c r="F23" s="52"/>
      <c r="G23" s="5"/>
      <c r="H23" s="52"/>
      <c r="I23" s="52"/>
      <c r="J23" s="52"/>
      <c r="K23" s="3"/>
    </row>
    <row r="24" spans="1:11" ht="15" customHeight="1" x14ac:dyDescent="0.4">
      <c r="A24" s="3"/>
      <c r="B24" s="42" t="str">
        <f>'1 Stand Configurator'!G16</f>
        <v>SonisC Headbanded Ear defender - SNR 32</v>
      </c>
      <c r="C24" s="41" t="str">
        <f>'1 Stand Configurator'!B16</f>
        <v>AEB030-0AY-000</v>
      </c>
      <c r="D24" s="41">
        <f>SUM('1 Stand Configurator'!N16*'1 Stand Configurator'!Z31)</f>
        <v>10</v>
      </c>
      <c r="E24" s="52"/>
      <c r="F24" s="52"/>
      <c r="G24" s="5"/>
      <c r="H24" s="52"/>
      <c r="I24" s="52"/>
      <c r="J24" s="52"/>
      <c r="K24" s="3"/>
    </row>
    <row r="25" spans="1:11" ht="15" customHeight="1" x14ac:dyDescent="0.4">
      <c r="A25" s="3"/>
      <c r="B25" s="42" t="str">
        <f>'1 Stand Configurator'!G17</f>
        <v>HardCap AeroLite - BumpCap - Black</v>
      </c>
      <c r="C25" s="41" t="str">
        <f>'1 Stand Configurator'!B17</f>
        <v>AAF000-001-100</v>
      </c>
      <c r="D25" s="41">
        <f>SUM('1 Stand Configurator'!N17*'1 Stand Configurator'!Z31)</f>
        <v>20</v>
      </c>
      <c r="E25" s="52"/>
      <c r="F25" s="52"/>
      <c r="G25" s="5"/>
      <c r="H25" s="52"/>
      <c r="I25" s="52"/>
      <c r="J25" s="52"/>
      <c r="K25" s="3"/>
    </row>
    <row r="26" spans="1:11" ht="15" customHeight="1" x14ac:dyDescent="0.4">
      <c r="A26" s="3"/>
      <c r="B26" s="42" t="str">
        <f>'1 Stand Configurator'!G18</f>
        <v>EVO2 Safety Helmet - NonVented - White</v>
      </c>
      <c r="C26" s="41" t="str">
        <f>'1 Stand Configurator'!B18</f>
        <v>AJE030-000-100</v>
      </c>
      <c r="D26" s="41">
        <f>SUM('1 Stand Configurator'!N18*'1 Stand Configurator'!Z31)</f>
        <v>10</v>
      </c>
      <c r="E26" s="52"/>
      <c r="F26" s="52"/>
      <c r="G26" s="5"/>
      <c r="H26" s="52"/>
      <c r="I26" s="52"/>
      <c r="J26" s="52"/>
      <c r="K26" s="3"/>
    </row>
    <row r="27" spans="1:11" ht="15" customHeight="1" x14ac:dyDescent="0.4">
      <c r="A27" s="3"/>
      <c r="B27" s="42" t="str">
        <f>'1 Stand Configurator'!G19</f>
        <v>SpringFit Disposable Mask - FFP2V</v>
      </c>
      <c r="C27" s="41" t="str">
        <f>'1 Stand Configurator'!B19</f>
        <v>BGA172-202-N00</v>
      </c>
      <c r="D27" s="41">
        <f>SUM('1 Stand Configurator'!N19*'1 Stand Configurator'!Z31)</f>
        <v>10</v>
      </c>
      <c r="E27" s="52"/>
      <c r="F27" s="52"/>
      <c r="G27" s="5"/>
      <c r="H27" s="52"/>
      <c r="I27" s="52"/>
      <c r="J27" s="52"/>
      <c r="K27" s="3"/>
    </row>
    <row r="28" spans="1:11" ht="15" customHeight="1" x14ac:dyDescent="0.4">
      <c r="A28" s="3"/>
      <c r="B28" s="42" t="str">
        <f>'1 Stand Configurator'!G20</f>
        <v>SpringFit Disposable Mask - FFP3V</v>
      </c>
      <c r="C28" s="41" t="str">
        <f>'1 Stand Configurator'!B20</f>
        <v>BGA182-206-N00</v>
      </c>
      <c r="D28" s="41">
        <f>SUM('1 Stand Configurator'!N20*'1 Stand Configurator'!Z31)</f>
        <v>10</v>
      </c>
      <c r="E28" s="52"/>
      <c r="F28" s="52"/>
      <c r="G28" s="5"/>
      <c r="H28" s="52"/>
      <c r="I28" s="52"/>
      <c r="J28" s="52"/>
      <c r="K28" s="3"/>
    </row>
    <row r="29" spans="1:11" ht="15" customHeight="1" x14ac:dyDescent="0.4">
      <c r="A29" s="3"/>
      <c r="B29" s="42" t="str">
        <f>'1 Stand Configurator'!G21</f>
        <v>SpringFit Disposable Mask - FFP3V</v>
      </c>
      <c r="C29" s="41" t="str">
        <f>'1 Stand Configurator'!B21</f>
        <v>BGA182-206-N00</v>
      </c>
      <c r="D29" s="41">
        <f>SUM('1 Stand Configurator'!N21*'1 Stand Configurator'!Z31)</f>
        <v>10</v>
      </c>
      <c r="E29" s="52"/>
      <c r="F29" s="52"/>
      <c r="G29" s="5"/>
      <c r="H29" s="52"/>
      <c r="I29" s="52"/>
      <c r="J29" s="52"/>
      <c r="K29" s="3"/>
    </row>
    <row r="30" spans="1:11" ht="15.75" customHeight="1" x14ac:dyDescent="0.4">
      <c r="A30" s="3"/>
      <c r="B30" s="42" t="str">
        <f>'1 Stand Configurator'!G22</f>
        <v>SpringFit Disposable Mask - FFP3OV</v>
      </c>
      <c r="C30" s="41" t="str">
        <f>'1 Stand Configurator'!B22</f>
        <v>BGA802-206-N00</v>
      </c>
      <c r="D30" s="41">
        <f>SUM('1 Stand Configurator'!N22*'1 Stand Configurator'!Z31)</f>
        <v>10</v>
      </c>
      <c r="E30" s="52"/>
      <c r="F30" s="52"/>
      <c r="G30" s="5"/>
      <c r="H30" s="52"/>
      <c r="I30" s="52"/>
      <c r="J30" s="52"/>
      <c r="K30" s="3"/>
    </row>
    <row r="31" spans="1:11" ht="15" customHeight="1" x14ac:dyDescent="0.4">
      <c r="A31" s="3"/>
      <c r="B31" s="42" t="str">
        <f>'1 Stand Configurator'!G23</f>
        <v>Force8  - with P3 PressToCheck Filters</v>
      </c>
      <c r="C31" s="41" t="str">
        <f>'1 Stand Configurator'!B23</f>
        <v>BHT0A3-0L5-N00</v>
      </c>
      <c r="D31" s="41">
        <f>SUM('1 Stand Configurator'!N23*'1 Stand Configurator'!Z31)</f>
        <v>10</v>
      </c>
      <c r="E31" s="52"/>
      <c r="F31" s="52"/>
      <c r="G31" s="5"/>
      <c r="H31" s="52"/>
      <c r="I31" s="52"/>
      <c r="J31" s="52"/>
      <c r="K31" s="3"/>
    </row>
    <row r="32" spans="1:11" ht="15" customHeight="1" x14ac:dyDescent="0.4">
      <c r="A32" s="3"/>
      <c r="B32" s="42" t="str">
        <f>'1 Stand Configurator'!G24</f>
        <v>Force8  - with P3 PressToCheck Filters</v>
      </c>
      <c r="C32" s="41" t="str">
        <f>'1 Stand Configurator'!B24</f>
        <v>BHT0A3-0L5-N00</v>
      </c>
      <c r="D32" s="41">
        <f>SUM('1 Stand Configurator'!N24*'1 Stand Configurator'!Z31)</f>
        <v>10</v>
      </c>
      <c r="E32" s="52"/>
      <c r="F32" s="52"/>
      <c r="G32" s="5"/>
      <c r="H32" s="52"/>
      <c r="I32" s="52"/>
      <c r="J32" s="52"/>
      <c r="K32" s="3"/>
    </row>
    <row r="33" spans="1:11" ht="15" customHeight="1" x14ac:dyDescent="0.4">
      <c r="A33" s="3"/>
      <c r="B33" s="42" t="str">
        <f>'1 Stand Configurator'!G25</f>
        <v>Force8  - with P3 PressToCheck Filters</v>
      </c>
      <c r="C33" s="41" t="str">
        <f>'1 Stand Configurator'!B25</f>
        <v>BHT0A3-0L5-N00</v>
      </c>
      <c r="D33" s="41">
        <f>SUM('1 Stand Configurator'!N25*'1 Stand Configurator'!Z31)</f>
        <v>10</v>
      </c>
      <c r="E33" s="52"/>
      <c r="F33" s="52"/>
      <c r="G33" s="5"/>
      <c r="H33" s="52"/>
      <c r="I33" s="52"/>
      <c r="J33" s="52"/>
      <c r="K33" s="3"/>
    </row>
    <row r="34" spans="1:11" ht="15" customHeight="1" x14ac:dyDescent="0.4">
      <c r="A34" s="3"/>
      <c r="B34" s="42" t="str">
        <f>'1 Stand Configurator'!G26</f>
        <v>Force8  - with P3 PressToCheck Filters</v>
      </c>
      <c r="C34" s="41" t="str">
        <f>'1 Stand Configurator'!B26</f>
        <v>BHT0A3-0L5-N00</v>
      </c>
      <c r="D34" s="41">
        <f>SUM('1 Stand Configurator'!N26*'1 Stand Configurator'!Z31)</f>
        <v>10</v>
      </c>
      <c r="E34" s="52"/>
      <c r="F34" s="52"/>
      <c r="G34" s="5"/>
      <c r="H34" s="52"/>
      <c r="I34" s="52"/>
      <c r="J34" s="52"/>
      <c r="K34" s="3"/>
    </row>
    <row r="35" spans="1:11" ht="15" customHeight="1" x14ac:dyDescent="0.4">
      <c r="A35" s="3"/>
      <c r="B35" s="42" t="str">
        <f>'1 Stand Configurator'!G27</f>
        <v xml:space="preserve">PressToCheck Filters - P3 </v>
      </c>
      <c r="C35" s="41" t="str">
        <f>'1 Stand Configurator'!B27</f>
        <v>BMN990-001-700</v>
      </c>
      <c r="D35" s="41">
        <f>SUM('1 Stand Configurator'!N27*'1 Stand Configurator'!Z31)</f>
        <v>10</v>
      </c>
      <c r="E35" s="52"/>
      <c r="F35" s="52"/>
      <c r="G35" s="5"/>
      <c r="H35" s="52"/>
      <c r="I35" s="52"/>
      <c r="J35" s="52"/>
      <c r="K35" s="3"/>
    </row>
    <row r="36" spans="1:11" ht="15.75" customHeight="1" x14ac:dyDescent="0.4">
      <c r="A36" s="3"/>
      <c r="B36" s="42" t="str">
        <f>'1 Stand Configurator'!G28</f>
        <v xml:space="preserve">PressToCheck Filters - P3 </v>
      </c>
      <c r="C36" s="41" t="str">
        <f>'1 Stand Configurator'!B28</f>
        <v>BMN990-001-700</v>
      </c>
      <c r="D36" s="41">
        <f>SUM('1 Stand Configurator'!N28*'1 Stand Configurator'!Z31)</f>
        <v>10</v>
      </c>
      <c r="E36" s="52"/>
      <c r="F36" s="52"/>
      <c r="G36" s="5"/>
      <c r="H36" s="52"/>
      <c r="I36" s="52"/>
      <c r="J36" s="52"/>
      <c r="K36" s="3"/>
    </row>
    <row r="37" spans="1:11" ht="15.75" customHeight="1" x14ac:dyDescent="0.4">
      <c r="A37" s="3"/>
      <c r="B37" s="42" t="str">
        <f>'1 Stand Configurator'!G29</f>
        <v>BushMaster Landscaping unit - Wire guaze</v>
      </c>
      <c r="C37" s="41" t="str">
        <f>'1 Stand Configurator'!B29</f>
        <v>AFZ101-131-100</v>
      </c>
      <c r="D37" s="41">
        <f>SUM('1 Stand Configurator'!N29*'1 Stand Configurator'!Z31)</f>
        <v>1</v>
      </c>
      <c r="E37" s="52"/>
      <c r="F37" s="52"/>
      <c r="G37" s="5"/>
      <c r="H37" s="52"/>
      <c r="I37" s="52"/>
      <c r="J37" s="52"/>
      <c r="K37" s="3"/>
    </row>
    <row r="38" spans="1:11" ht="15" customHeight="1" x14ac:dyDescent="0.4">
      <c r="A38" s="3"/>
      <c r="B38" s="42" t="str">
        <f>'1 Stand Configurator'!G30</f>
        <v>Force10 - FullFace Mask - Medium</v>
      </c>
      <c r="C38" s="41" t="str">
        <f>'1 Stand Configurator'!B30</f>
        <v>BPB003-004-000</v>
      </c>
      <c r="D38" s="41">
        <f>SUM('1 Stand Configurator'!N30*'1 Stand Configurator'!Z31)</f>
        <v>1</v>
      </c>
      <c r="E38" s="52"/>
      <c r="F38" s="52"/>
      <c r="G38" s="5"/>
      <c r="H38" s="52"/>
      <c r="I38" s="52"/>
      <c r="J38" s="52"/>
      <c r="K38" s="3"/>
    </row>
    <row r="39" spans="1:11" ht="15" hidden="1" customHeight="1" x14ac:dyDescent="0.4">
      <c r="A39" s="3"/>
      <c r="B39" s="42">
        <f>'1 Stand Configurator'!G31</f>
        <v>0</v>
      </c>
      <c r="C39" s="41">
        <f>'1 Stand Configurator'!B31</f>
        <v>0</v>
      </c>
      <c r="D39" s="41">
        <f>SUM('1 Stand Configurator'!N31*'1 Stand Configurator'!Z31)</f>
        <v>0</v>
      </c>
      <c r="E39" s="52"/>
      <c r="F39" s="52"/>
      <c r="G39" s="5"/>
      <c r="H39" s="52"/>
      <c r="I39" s="52"/>
      <c r="J39" s="52"/>
      <c r="K39" s="3"/>
    </row>
    <row r="40" spans="1:11" ht="15" hidden="1" customHeight="1" x14ac:dyDescent="0.4">
      <c r="A40" s="3"/>
      <c r="B40" s="42">
        <f>'1 Stand Configurator'!G32</f>
        <v>0</v>
      </c>
      <c r="C40" s="41">
        <f>'1 Stand Configurator'!B32</f>
        <v>0</v>
      </c>
      <c r="D40" s="41">
        <f>SUM('1 Stand Configurator'!N32*'1 Stand Configurator'!Z31)</f>
        <v>0</v>
      </c>
      <c r="E40" s="52"/>
      <c r="F40" s="52"/>
      <c r="G40" s="5"/>
      <c r="H40" s="52"/>
      <c r="I40" s="52"/>
      <c r="J40" s="52"/>
      <c r="K40" s="3"/>
    </row>
    <row r="41" spans="1:11" ht="15" hidden="1" customHeight="1" x14ac:dyDescent="0.4">
      <c r="A41" s="3"/>
      <c r="B41" s="42">
        <f>'1 Stand Configurator'!G33</f>
        <v>0</v>
      </c>
      <c r="C41" s="41">
        <f>'1 Stand Configurator'!B33</f>
        <v>0</v>
      </c>
      <c r="D41" s="41">
        <f>SUM('1 Stand Configurator'!N33*'1 Stand Configurator'!Z31)</f>
        <v>0</v>
      </c>
      <c r="E41" s="52"/>
      <c r="F41" s="52"/>
      <c r="G41" s="5"/>
      <c r="H41" s="52"/>
      <c r="I41" s="52"/>
      <c r="J41" s="52"/>
      <c r="K41" s="3"/>
    </row>
    <row r="42" spans="1:11" ht="15" hidden="1" customHeight="1" x14ac:dyDescent="0.4">
      <c r="A42" s="3"/>
      <c r="B42" s="42">
        <f>'1 Stand Configurator'!G34</f>
        <v>0</v>
      </c>
      <c r="C42" s="41">
        <f>'1 Stand Configurator'!B34</f>
        <v>0</v>
      </c>
      <c r="D42" s="41">
        <f>SUM('1 Stand Configurator'!N34*'1 Stand Configurator'!Z31)</f>
        <v>0</v>
      </c>
      <c r="E42" s="52"/>
      <c r="F42" s="52"/>
      <c r="G42" s="5"/>
      <c r="H42" s="52"/>
      <c r="I42" s="52"/>
      <c r="J42" s="52"/>
      <c r="K42" s="3"/>
    </row>
    <row r="43" spans="1:11" ht="15" hidden="1" customHeight="1" x14ac:dyDescent="0.4">
      <c r="A43" s="3"/>
      <c r="B43" s="42">
        <f>'1 Stand Configurator'!G35</f>
        <v>0</v>
      </c>
      <c r="C43" s="41">
        <f>'1 Stand Configurator'!B35</f>
        <v>0</v>
      </c>
      <c r="D43" s="41">
        <f>SUM('1 Stand Configurator'!N35*'1 Stand Configurator'!Z31)</f>
        <v>0</v>
      </c>
      <c r="E43" s="52"/>
      <c r="F43" s="52"/>
      <c r="G43" s="5"/>
      <c r="H43" s="52"/>
      <c r="I43" s="52"/>
      <c r="J43" s="52"/>
      <c r="K43" s="3"/>
    </row>
    <row r="44" spans="1:11" ht="15" hidden="1" customHeight="1" x14ac:dyDescent="0.4">
      <c r="A44" s="3"/>
      <c r="B44" s="42">
        <f>'1 Stand Configurator'!G36</f>
        <v>0</v>
      </c>
      <c r="C44" s="41">
        <f>'1 Stand Configurator'!B36</f>
        <v>0</v>
      </c>
      <c r="D44" s="41">
        <f>SUM('1 Stand Configurator'!N36*'1 Stand Configurator'!Z31)</f>
        <v>0</v>
      </c>
      <c r="E44" s="52"/>
      <c r="F44" s="52"/>
      <c r="G44" s="5"/>
      <c r="H44" s="52"/>
      <c r="I44" s="52"/>
      <c r="J44" s="52"/>
      <c r="K44" s="3"/>
    </row>
    <row r="45" spans="1:11" ht="15" hidden="1" customHeight="1" x14ac:dyDescent="0.4">
      <c r="A45" s="3"/>
      <c r="B45" s="42">
        <f>'1 Stand Configurator'!G37</f>
        <v>0</v>
      </c>
      <c r="C45" s="41">
        <f>'1 Stand Configurator'!B37</f>
        <v>0</v>
      </c>
      <c r="D45" s="41">
        <f>SUM('1 Stand Configurator'!N37*'1 Stand Configurator'!Z31)</f>
        <v>0</v>
      </c>
      <c r="E45" s="52"/>
      <c r="F45" s="52"/>
      <c r="G45" s="5"/>
      <c r="H45" s="52"/>
      <c r="I45" s="52"/>
      <c r="J45" s="52"/>
      <c r="K45" s="3"/>
    </row>
    <row r="46" spans="1:11" ht="15" hidden="1" customHeight="1" x14ac:dyDescent="0.4">
      <c r="A46" s="3"/>
      <c r="B46" s="42">
        <f>'1 Stand Configurator'!G38</f>
        <v>0</v>
      </c>
      <c r="C46" s="41">
        <f>'1 Stand Configurator'!B38</f>
        <v>0</v>
      </c>
      <c r="D46" s="41">
        <f>SUM('1 Stand Configurator'!N38*'1 Stand Configurator'!Z31)</f>
        <v>0</v>
      </c>
      <c r="E46" s="52"/>
      <c r="F46" s="52"/>
      <c r="G46" s="5"/>
      <c r="H46" s="52"/>
      <c r="I46" s="52"/>
      <c r="J46" s="52"/>
      <c r="K46" s="3"/>
    </row>
    <row r="47" spans="1:11" ht="15" hidden="1" customHeight="1" x14ac:dyDescent="0.4">
      <c r="A47" s="3"/>
      <c r="B47" s="42">
        <f>'1 Stand Configurator'!G39</f>
        <v>0</v>
      </c>
      <c r="C47" s="41">
        <f>'1 Stand Configurator'!B39</f>
        <v>0</v>
      </c>
      <c r="D47" s="41">
        <f>SUM('1 Stand Configurator'!N39*'1 Stand Configurator'!Z31)</f>
        <v>0</v>
      </c>
      <c r="E47" s="52"/>
      <c r="F47" s="52"/>
      <c r="G47" s="5"/>
      <c r="H47" s="52"/>
      <c r="I47" s="52"/>
      <c r="J47" s="52"/>
      <c r="K47" s="3"/>
    </row>
    <row r="48" spans="1:11" ht="15" hidden="1" customHeight="1" x14ac:dyDescent="0.4">
      <c r="A48" s="3"/>
      <c r="B48" s="42">
        <f>'1 Stand Configurator'!G40</f>
        <v>0</v>
      </c>
      <c r="C48" s="41">
        <f>'1 Stand Configurator'!B40</f>
        <v>0</v>
      </c>
      <c r="D48" s="41">
        <f>SUM('1 Stand Configurator'!N40*'1 Stand Configurator'!Z31)</f>
        <v>0</v>
      </c>
      <c r="E48" s="52"/>
      <c r="F48" s="52"/>
      <c r="G48" s="5"/>
      <c r="H48" s="52"/>
      <c r="I48" s="52"/>
      <c r="J48" s="52"/>
      <c r="K48" s="3"/>
    </row>
    <row r="49" spans="1:11" ht="15" hidden="1" customHeight="1" x14ac:dyDescent="0.4">
      <c r="A49" s="3"/>
      <c r="B49" s="42">
        <f>'1 Stand Configurator'!G41</f>
        <v>0</v>
      </c>
      <c r="C49" s="41">
        <f>'1 Stand Configurator'!B41</f>
        <v>0</v>
      </c>
      <c r="D49" s="41">
        <f>SUM('1 Stand Configurator'!N41*'1 Stand Configurator'!Z31)</f>
        <v>0</v>
      </c>
      <c r="E49" s="52"/>
      <c r="F49" s="52"/>
      <c r="G49" s="5"/>
      <c r="H49" s="52"/>
      <c r="I49" s="52"/>
      <c r="J49" s="52"/>
      <c r="K49" s="3"/>
    </row>
    <row r="50" spans="1:11" ht="15" hidden="1" customHeight="1" x14ac:dyDescent="0.4">
      <c r="A50" s="3"/>
      <c r="B50" s="42">
        <f>'1 Stand Configurator'!G42</f>
        <v>0</v>
      </c>
      <c r="C50" s="41">
        <f>'1 Stand Configurator'!B42</f>
        <v>0</v>
      </c>
      <c r="D50" s="41">
        <f>SUM('1 Stand Configurator'!N42*'1 Stand Configurator'!Z31)</f>
        <v>0</v>
      </c>
      <c r="E50" s="52"/>
      <c r="F50" s="52"/>
      <c r="G50" s="5"/>
      <c r="H50" s="52"/>
      <c r="I50" s="52"/>
      <c r="J50" s="52"/>
      <c r="K50" s="3"/>
    </row>
    <row r="51" spans="1:11" ht="15" hidden="1" customHeight="1" x14ac:dyDescent="0.4">
      <c r="A51" s="3"/>
      <c r="B51" s="42">
        <f>'1 Stand Configurator'!G43</f>
        <v>0</v>
      </c>
      <c r="C51" s="41">
        <f>'1 Stand Configurator'!B43</f>
        <v>0</v>
      </c>
      <c r="D51" s="41">
        <f>SUM('1 Stand Configurator'!N43*'1 Stand Configurator'!Z31)</f>
        <v>0</v>
      </c>
      <c r="E51" s="52"/>
      <c r="F51" s="52"/>
      <c r="G51" s="5"/>
      <c r="H51" s="52"/>
      <c r="I51" s="52"/>
      <c r="J51" s="52"/>
      <c r="K51" s="3"/>
    </row>
    <row r="52" spans="1:11" ht="15" hidden="1" customHeight="1" x14ac:dyDescent="0.4">
      <c r="A52" s="3"/>
      <c r="B52" s="42">
        <f>'1 Stand Configurator'!G44</f>
        <v>0</v>
      </c>
      <c r="C52" s="41">
        <f>'1 Stand Configurator'!B44</f>
        <v>0</v>
      </c>
      <c r="D52" s="41">
        <f>SUM('1 Stand Configurator'!N44*'1 Stand Configurator'!Z31)</f>
        <v>0</v>
      </c>
      <c r="E52" s="52"/>
      <c r="F52" s="52"/>
      <c r="G52" s="5"/>
      <c r="H52" s="52"/>
      <c r="I52" s="52"/>
      <c r="J52" s="52"/>
      <c r="K52" s="3"/>
    </row>
    <row r="53" spans="1:11" ht="15" hidden="1" customHeight="1" x14ac:dyDescent="0.4">
      <c r="A53" s="3"/>
      <c r="B53" s="42">
        <f>'1 Stand Configurator'!G45</f>
        <v>0</v>
      </c>
      <c r="C53" s="41">
        <f>'1 Stand Configurator'!B45</f>
        <v>0</v>
      </c>
      <c r="D53" s="41">
        <f>SUM('1 Stand Configurator'!N45*'1 Stand Configurator'!Z31)</f>
        <v>0</v>
      </c>
      <c r="E53" s="52"/>
      <c r="F53" s="52"/>
      <c r="G53" s="5"/>
      <c r="H53" s="52"/>
      <c r="I53" s="52"/>
      <c r="J53" s="52"/>
      <c r="K53" s="3"/>
    </row>
    <row r="54" spans="1:11" ht="15" hidden="1" customHeight="1" x14ac:dyDescent="0.4">
      <c r="A54" s="3"/>
      <c r="B54" s="42">
        <f>'1 Stand Configurator'!G46</f>
        <v>0</v>
      </c>
      <c r="C54" s="41">
        <f>'1 Stand Configurator'!B46</f>
        <v>0</v>
      </c>
      <c r="D54" s="41">
        <f>SUM('1 Stand Configurator'!N46*'1 Stand Configurator'!Z31)</f>
        <v>0</v>
      </c>
      <c r="E54" s="52"/>
      <c r="F54" s="52"/>
      <c r="G54" s="5"/>
      <c r="H54" s="52"/>
      <c r="I54" s="52"/>
      <c r="J54" s="52"/>
      <c r="K54" s="3"/>
    </row>
    <row r="55" spans="1:11" ht="15" hidden="1" customHeight="1" x14ac:dyDescent="0.4">
      <c r="A55" s="3"/>
      <c r="B55" s="42">
        <f>'1 Stand Configurator'!G47</f>
        <v>0</v>
      </c>
      <c r="C55" s="41">
        <f>'1 Stand Configurator'!B47</f>
        <v>0</v>
      </c>
      <c r="D55" s="41">
        <f>SUM('1 Stand Configurator'!N47*'1 Stand Configurator'!Z31)</f>
        <v>0</v>
      </c>
      <c r="E55" s="52"/>
      <c r="F55" s="52"/>
      <c r="G55" s="5"/>
      <c r="H55" s="52"/>
      <c r="I55" s="52"/>
      <c r="J55" s="52"/>
      <c r="K55" s="3"/>
    </row>
    <row r="56" spans="1:11" ht="15" hidden="1" customHeight="1" x14ac:dyDescent="0.4">
      <c r="A56" s="3"/>
      <c r="B56" s="42">
        <f>'1 Stand Configurator'!G48</f>
        <v>0</v>
      </c>
      <c r="C56" s="41">
        <f>'1 Stand Configurator'!B48</f>
        <v>0</v>
      </c>
      <c r="D56" s="41">
        <f>SUM('1 Stand Configurator'!N48*'1 Stand Configurator'!Z31)</f>
        <v>0</v>
      </c>
      <c r="E56" s="52"/>
      <c r="F56" s="52"/>
      <c r="G56" s="5"/>
      <c r="H56" s="52"/>
      <c r="I56" s="52"/>
      <c r="J56" s="52"/>
      <c r="K56" s="3"/>
    </row>
    <row r="57" spans="1:11" ht="15" hidden="1" customHeight="1" x14ac:dyDescent="0.4">
      <c r="A57" s="3"/>
      <c r="B57" s="42">
        <f>'1 Stand Configurator'!G49</f>
        <v>0</v>
      </c>
      <c r="C57" s="41">
        <f>'1 Stand Configurator'!B49</f>
        <v>0</v>
      </c>
      <c r="D57" s="41">
        <f>SUM('1 Stand Configurator'!N49*'1 Stand Configurator'!Z31)</f>
        <v>0</v>
      </c>
      <c r="E57" s="52"/>
      <c r="F57" s="52"/>
      <c r="G57" s="5"/>
      <c r="H57" s="52"/>
      <c r="I57" s="52"/>
      <c r="J57" s="52"/>
      <c r="K57" s="3"/>
    </row>
    <row r="58" spans="1:11" ht="15" hidden="1" customHeight="1" x14ac:dyDescent="0.4">
      <c r="A58" s="3"/>
      <c r="B58" s="42">
        <f>'1 Stand Configurator'!G50</f>
        <v>0</v>
      </c>
      <c r="C58" s="41">
        <f>'1 Stand Configurator'!B50</f>
        <v>0</v>
      </c>
      <c r="D58" s="41">
        <f>SUM('1 Stand Configurator'!N50*'1 Stand Configurator'!Z31)</f>
        <v>0</v>
      </c>
      <c r="E58" s="52"/>
      <c r="F58" s="52"/>
      <c r="G58" s="5"/>
      <c r="H58" s="52"/>
      <c r="I58" s="52"/>
      <c r="J58" s="52"/>
      <c r="K58" s="3"/>
    </row>
    <row r="59" spans="1:11" ht="15" hidden="1" customHeight="1" x14ac:dyDescent="0.4">
      <c r="A59" s="3"/>
      <c r="B59" s="42">
        <f>'1 Stand Configurator'!G51</f>
        <v>0</v>
      </c>
      <c r="C59" s="41">
        <f>'1 Stand Configurator'!B51</f>
        <v>0</v>
      </c>
      <c r="D59" s="41">
        <f>SUM('1 Stand Configurator'!N51*'1 Stand Configurator'!Z31)</f>
        <v>0</v>
      </c>
      <c r="E59" s="52"/>
      <c r="F59" s="52"/>
      <c r="G59" s="5"/>
      <c r="H59" s="52"/>
      <c r="I59" s="52"/>
      <c r="J59" s="52"/>
      <c r="K59" s="3"/>
    </row>
    <row r="60" spans="1:11" ht="15" hidden="1" customHeight="1" x14ac:dyDescent="0.4">
      <c r="A60" s="3"/>
      <c r="B60" s="42">
        <f>'1 Stand Configurator'!G52</f>
        <v>0</v>
      </c>
      <c r="C60" s="41">
        <f>'1 Stand Configurator'!B52</f>
        <v>0</v>
      </c>
      <c r="D60" s="41">
        <f>SUM('1 Stand Configurator'!N52*'1 Stand Configurator'!Z31)</f>
        <v>0</v>
      </c>
      <c r="E60" s="52"/>
      <c r="F60" s="52"/>
      <c r="G60" s="5"/>
      <c r="H60" s="52"/>
      <c r="I60" s="52"/>
      <c r="J60" s="52"/>
      <c r="K60" s="3"/>
    </row>
    <row r="61" spans="1:11" ht="15" hidden="1" customHeight="1" x14ac:dyDescent="0.4">
      <c r="A61" s="3"/>
      <c r="B61" s="42">
        <f>'1 Stand Configurator'!G53</f>
        <v>0</v>
      </c>
      <c r="C61" s="41">
        <f>'1 Stand Configurator'!B53</f>
        <v>0</v>
      </c>
      <c r="D61" s="41">
        <f>SUM('1 Stand Configurator'!N53*'1 Stand Configurator'!Z31)</f>
        <v>0</v>
      </c>
      <c r="E61" s="52"/>
      <c r="F61" s="52"/>
      <c r="G61" s="5"/>
      <c r="H61" s="52"/>
      <c r="I61" s="52"/>
      <c r="J61" s="52"/>
      <c r="K61" s="3"/>
    </row>
    <row r="62" spans="1:11" ht="15" customHeight="1" x14ac:dyDescent="0.4">
      <c r="A62" s="3"/>
      <c r="B62" s="44"/>
      <c r="C62" s="43"/>
      <c r="D62" s="43"/>
      <c r="E62" s="52"/>
      <c r="F62" s="52"/>
      <c r="G62" s="5"/>
      <c r="H62" s="52"/>
      <c r="I62" s="52"/>
      <c r="J62" s="52"/>
      <c r="K62" s="3"/>
    </row>
    <row r="63" spans="1:11" ht="15" customHeight="1" x14ac:dyDescent="0.4">
      <c r="A63" s="3"/>
      <c r="B63" s="39" t="s">
        <v>183</v>
      </c>
      <c r="C63" s="9" t="s">
        <v>53</v>
      </c>
      <c r="D63" s="18" t="s">
        <v>159</v>
      </c>
      <c r="E63" s="52"/>
      <c r="F63" s="52"/>
      <c r="G63" s="5"/>
      <c r="H63" s="52"/>
      <c r="I63" s="52"/>
      <c r="J63" s="52"/>
      <c r="K63" s="52"/>
    </row>
    <row r="64" spans="1:11" ht="5.15" customHeight="1" x14ac:dyDescent="0.4">
      <c r="A64" s="3"/>
      <c r="B64" s="44"/>
      <c r="C64" s="43"/>
      <c r="D64" s="43"/>
      <c r="E64" s="52"/>
      <c r="F64" s="43"/>
      <c r="G64" s="43"/>
      <c r="H64" s="52"/>
      <c r="I64" s="52"/>
      <c r="J64" s="52"/>
      <c r="K64" s="52"/>
    </row>
    <row r="65" spans="1:11" ht="15" customHeight="1" x14ac:dyDescent="0.4">
      <c r="A65" s="3"/>
      <c r="B65" s="187" t="str">
        <f>'Product List'!B5</f>
        <v>EVOLite Safety Helmet - NonVented - White</v>
      </c>
      <c r="C65" s="41" t="str">
        <f>'Product List'!E5</f>
        <v>RPKE-000-001</v>
      </c>
      <c r="D65" s="191" cm="1">
        <f t="array" ref="D65">SUMPRODUCT((F191:J214="RPKE-000-001")*('1 Stand Configurator'!Z31))</f>
        <v>0</v>
      </c>
      <c r="E65" s="52"/>
      <c r="F65" s="52"/>
      <c r="G65" s="5"/>
      <c r="H65" s="52"/>
      <c r="I65" s="52"/>
      <c r="J65" s="52"/>
      <c r="K65" s="52"/>
    </row>
    <row r="66" spans="1:11" hidden="1" x14ac:dyDescent="0.4">
      <c r="A66" s="3"/>
      <c r="B66" s="187" t="str">
        <f>'Product List'!B6</f>
        <v>EVOLite Safety Helmet - Vented - White</v>
      </c>
      <c r="C66" s="41" t="str">
        <f>'Product List'!E6</f>
        <v>RPKE-000-002</v>
      </c>
      <c r="D66" s="191" cm="1">
        <f t="array" ref="D66">SUMPRODUCT((F191:J214="RPKE-000-002")*('1 Stand Configurator'!Z31))</f>
        <v>0</v>
      </c>
      <c r="E66" s="52"/>
      <c r="F66" s="52"/>
      <c r="G66" s="5"/>
      <c r="H66" s="52"/>
      <c r="I66" s="52"/>
      <c r="J66" s="52"/>
      <c r="K66" s="52"/>
    </row>
    <row r="67" spans="1:11" ht="15" hidden="1" customHeight="1" x14ac:dyDescent="0.4">
      <c r="A67" s="3"/>
      <c r="B67" s="187" t="str">
        <f>'Product List'!B7</f>
        <v>EVO2 Safety Helmet - NonVented - White</v>
      </c>
      <c r="C67" s="41" t="str">
        <f>'Product List'!E7</f>
        <v>RPKE-000-003</v>
      </c>
      <c r="D67" s="191" cm="1">
        <f t="array" ref="D67">SUMPRODUCT((F191:J214="RPKE-000-003")*('1 Stand Configurator'!Z31))</f>
        <v>1</v>
      </c>
      <c r="E67" s="52"/>
      <c r="F67" s="52"/>
      <c r="G67" s="5"/>
      <c r="H67" s="52"/>
      <c r="I67" s="52"/>
      <c r="J67" s="52"/>
      <c r="K67" s="52"/>
    </row>
    <row r="68" spans="1:11" ht="15" hidden="1" customHeight="1" x14ac:dyDescent="0.4">
      <c r="A68" s="3"/>
      <c r="B68" s="187" t="str">
        <f>'Product List'!B9</f>
        <v>EVO2 Safety Helmet - Vented - Black</v>
      </c>
      <c r="C68" s="41" t="str">
        <f>'Product List'!E9</f>
        <v>RPKE-000-004</v>
      </c>
      <c r="D68" s="191" cm="1">
        <f t="array" ref="D68">SUMPRODUCT((F191:J214="RPKE-000-004")*('1 Stand Configurator'!Z31))</f>
        <v>0</v>
      </c>
      <c r="E68" s="52"/>
      <c r="F68" s="52"/>
      <c r="G68" s="5"/>
      <c r="H68" s="52"/>
      <c r="I68" s="52"/>
      <c r="J68" s="52"/>
      <c r="K68" s="52"/>
    </row>
    <row r="69" spans="1:11" ht="15" customHeight="1" x14ac:dyDescent="0.4">
      <c r="A69" s="3"/>
      <c r="B69" s="187" t="str">
        <f>'Product List'!B10</f>
        <v>HardCap AeroLite - BumpCap - Black</v>
      </c>
      <c r="C69" s="41" t="str">
        <f>'Product List'!E10</f>
        <v>RPKE-000-005</v>
      </c>
      <c r="D69" s="191" cm="1">
        <f t="array" ref="D69">SUMPRODUCT((F191:J214="RPKE-000-005")*('1 Stand Configurator'!Z31))</f>
        <v>1</v>
      </c>
      <c r="E69" s="52"/>
      <c r="F69" s="52"/>
      <c r="G69" s="5"/>
      <c r="H69" s="52"/>
      <c r="I69" s="52"/>
      <c r="J69" s="52"/>
      <c r="K69" s="52"/>
    </row>
    <row r="70" spans="1:11" ht="15" hidden="1" customHeight="1" x14ac:dyDescent="0.4">
      <c r="A70" s="3"/>
      <c r="B70" s="187" t="str">
        <f>'Product List'!B11</f>
        <v>HardCap AeroLite - BumpCap - Blue</v>
      </c>
      <c r="C70" s="41" t="str">
        <f>'Product List'!E11</f>
        <v>RPKE-000-006</v>
      </c>
      <c r="D70" s="191" cm="1">
        <f t="array" ref="D70">SUMPRODUCT((F191:J214="RPKE-000-006")*('1 Stand Configurator'!Z31))</f>
        <v>0</v>
      </c>
      <c r="E70" s="52"/>
      <c r="F70" s="52"/>
      <c r="G70" s="5"/>
      <c r="H70" s="52"/>
      <c r="I70" s="52"/>
      <c r="J70" s="52"/>
      <c r="K70" s="52"/>
    </row>
    <row r="71" spans="1:11" hidden="1" x14ac:dyDescent="0.4">
      <c r="A71" s="3"/>
      <c r="B71" s="187" t="str">
        <f>'Product List'!B12</f>
        <v>EVOLite Skyworker - Working at Height Helmet</v>
      </c>
      <c r="C71" s="41" t="str">
        <f>'Product List'!E12</f>
        <v>RPKE-000-007</v>
      </c>
      <c r="D71" s="191" cm="1">
        <f t="array" ref="D71">SUMPRODUCT((F191:J214="RPKE-000-007")*('1 Stand Configurator'!Z31))</f>
        <v>0</v>
      </c>
      <c r="E71" s="52"/>
      <c r="F71" s="52"/>
      <c r="G71" s="5"/>
      <c r="H71" s="52"/>
      <c r="I71" s="52"/>
      <c r="J71" s="52"/>
      <c r="K71" s="52"/>
    </row>
    <row r="72" spans="1:11" ht="15" hidden="1" customHeight="1" x14ac:dyDescent="0.4">
      <c r="A72" s="3"/>
      <c r="B72" s="187" t="str">
        <f>'Product List'!B13</f>
        <v>EVOVistaLens - Vented - White/Smoke</v>
      </c>
      <c r="C72" s="41" t="str">
        <f>'Product List'!E13</f>
        <v>RPKE-000-049</v>
      </c>
      <c r="D72" s="191" cm="1">
        <f t="array" ref="D72">SUMPRODUCT((F191:J214="RPKE-000-049")*('1 Stand Configurator'!Z31))</f>
        <v>0</v>
      </c>
      <c r="E72" s="52"/>
      <c r="F72" s="52"/>
      <c r="G72" s="5"/>
      <c r="H72" s="52"/>
      <c r="I72" s="52"/>
      <c r="J72" s="52"/>
      <c r="K72" s="52"/>
    </row>
    <row r="73" spans="1:11" ht="15" hidden="1" customHeight="1" x14ac:dyDescent="0.4">
      <c r="A73" s="3"/>
      <c r="B73" s="187" t="str">
        <f>'Product List'!B14</f>
        <v>EVOVistaShield - Vented - White/Smoke</v>
      </c>
      <c r="C73" s="41" t="str">
        <f>'Product List'!E14</f>
        <v>RPKE-000-XX1</v>
      </c>
      <c r="D73" s="191" cm="1">
        <f t="array" ref="D73">SUMPRODUCT((F191:J214="RPKE-000-XX1")*('1 Stand Configurator'!Z31))</f>
        <v>0</v>
      </c>
      <c r="E73" s="52"/>
      <c r="F73" s="52"/>
      <c r="G73" s="5"/>
      <c r="H73" s="52"/>
      <c r="I73" s="52"/>
      <c r="J73" s="52"/>
      <c r="K73" s="52"/>
    </row>
    <row r="74" spans="1:11" ht="15" hidden="1" customHeight="1" x14ac:dyDescent="0.4">
      <c r="A74" s="3"/>
      <c r="B74" s="187" t="str">
        <f>'Product List'!B15</f>
        <v>PPE Cleaning Sachets x 100</v>
      </c>
      <c r="C74" s="41" t="str">
        <f>'Product List'!E15</f>
        <v>RPKE-000-050</v>
      </c>
      <c r="D74" s="191" cm="1">
        <f t="array" ref="D74">SUMPRODUCT((F191:J214="RPKE-000-050")*('1 Stand Configurator'!Z31))</f>
        <v>0</v>
      </c>
      <c r="E74" s="52"/>
      <c r="F74" s="52"/>
      <c r="G74" s="52"/>
      <c r="H74" s="52"/>
      <c r="I74" s="52"/>
      <c r="J74" s="52"/>
      <c r="K74" s="52"/>
    </row>
    <row r="75" spans="1:11" x14ac:dyDescent="0.4">
      <c r="A75" s="3"/>
      <c r="B75" s="187" t="str">
        <f>'Product List'!B16</f>
        <v>SpringFit Disposable Mask - FFP2V</v>
      </c>
      <c r="C75" s="41" t="str">
        <f>'Product List'!E16</f>
        <v>RPKE-000-008</v>
      </c>
      <c r="D75" s="191" cm="1">
        <f t="array" ref="D75">SUMPRODUCT((F191:J214="RPKE-000-008")*('1 Stand Configurator'!Z31))</f>
        <v>1</v>
      </c>
      <c r="E75" s="52"/>
      <c r="F75" s="52"/>
      <c r="G75" s="52"/>
      <c r="H75" s="52"/>
      <c r="I75" s="52"/>
      <c r="J75" s="52"/>
      <c r="K75" s="52"/>
    </row>
    <row r="76" spans="1:11" ht="15" customHeight="1" x14ac:dyDescent="0.4">
      <c r="A76" s="3"/>
      <c r="B76" s="187" t="str">
        <f>'Product List'!B17</f>
        <v>SpringFit Disposable Mask - FFP3V</v>
      </c>
      <c r="C76" s="41" t="str">
        <f>'Product List'!E17</f>
        <v>RPKE-000-009</v>
      </c>
      <c r="D76" s="191" cm="1">
        <f t="array" ref="D76">SUMPRODUCT((F191:J214="RPKE-000-009")*('1 Stand Configurator'!Z31))</f>
        <v>2</v>
      </c>
      <c r="E76" s="52"/>
      <c r="F76" s="52"/>
      <c r="G76" s="52"/>
      <c r="H76" s="52"/>
      <c r="I76" s="52"/>
      <c r="J76" s="52"/>
      <c r="K76" s="52"/>
    </row>
    <row r="77" spans="1:11" ht="15" customHeight="1" x14ac:dyDescent="0.4">
      <c r="A77" s="3"/>
      <c r="B77" s="187" t="str">
        <f>'Product List'!B18</f>
        <v>SpringFit Disposable Mask - FFP3OV</v>
      </c>
      <c r="C77" s="41" t="str">
        <f>'Product List'!E18</f>
        <v>RPKE-000-010</v>
      </c>
      <c r="D77" s="191" cm="1">
        <f t="array" ref="D77">SUMPRODUCT((F191:J214="RPKE-000-010")*('1 Stand Configurator'!Z31))</f>
        <v>1</v>
      </c>
      <c r="E77" s="52"/>
      <c r="F77" s="52"/>
      <c r="G77" s="52"/>
      <c r="H77" s="52"/>
      <c r="I77" s="52"/>
      <c r="J77" s="52"/>
      <c r="K77" s="52"/>
    </row>
    <row r="78" spans="1:11" ht="15" hidden="1" customHeight="1" x14ac:dyDescent="0.4">
      <c r="A78" s="3"/>
      <c r="B78" s="187" t="str">
        <f>'Product List'!B19</f>
        <v>F621 Disposable Mask - FFP2 - x2</v>
      </c>
      <c r="C78" s="41" t="str">
        <f>'Product List'!E19</f>
        <v>RPKE-000-XX2</v>
      </c>
      <c r="D78" s="191" cm="1">
        <f t="array" ref="D78">SUMPRODUCT((F191:J214="RPKE-000-XX2")*('1 Stand Configurator'!Z31))</f>
        <v>0</v>
      </c>
      <c r="E78" s="52"/>
      <c r="F78" s="52"/>
      <c r="G78" s="52"/>
      <c r="H78" s="52"/>
      <c r="I78" s="52"/>
      <c r="J78" s="52"/>
      <c r="K78" s="52"/>
    </row>
    <row r="79" spans="1:11" ht="15" hidden="1" customHeight="1" x14ac:dyDescent="0.4">
      <c r="A79" s="3"/>
      <c r="B79" s="187" t="str">
        <f>'Product List'!B20</f>
        <v>F622 Disposable Mask - FFP2V - x 2</v>
      </c>
      <c r="C79" s="41" t="str">
        <f>'Product List'!E20</f>
        <v>RPKE-000-XX3</v>
      </c>
      <c r="D79" s="191" cm="1">
        <f t="array" ref="D79">SUMPRODUCT((F191:J214="RPKE-000-XX3")*('1 Stand Configurator'!Z31))</f>
        <v>0</v>
      </c>
      <c r="E79" s="52"/>
      <c r="F79" s="52"/>
      <c r="G79" s="52"/>
      <c r="H79" s="52"/>
      <c r="I79" s="52"/>
      <c r="J79" s="52"/>
      <c r="K79" s="52"/>
    </row>
    <row r="80" spans="1:11" ht="15" hidden="1" customHeight="1" x14ac:dyDescent="0.4">
      <c r="A80" s="3"/>
      <c r="B80" s="187" t="str">
        <f>'Product List'!B21</f>
        <v>F632 Disposable Mask - FFP3V - x2</v>
      </c>
      <c r="C80" s="41" t="str">
        <f>'Product List'!E21</f>
        <v>RPKE-000-XX4</v>
      </c>
      <c r="D80" s="191" cm="1">
        <f t="array" ref="D80">SUMPRODUCT((F191:J214="RPKE-000-XX4")*('1 Stand Configurator'!Z31))</f>
        <v>0</v>
      </c>
      <c r="E80" s="52"/>
      <c r="F80" s="52"/>
      <c r="G80" s="52"/>
      <c r="H80" s="52"/>
      <c r="I80" s="52"/>
      <c r="J80" s="52"/>
      <c r="K80" s="52"/>
    </row>
    <row r="81" spans="1:11" ht="15" hidden="1" customHeight="1" x14ac:dyDescent="0.4">
      <c r="A81" s="3"/>
      <c r="B81" s="187" t="str">
        <f>'Product List'!B22</f>
        <v>Flexinet Disposable Mask - FFP2V</v>
      </c>
      <c r="C81" s="41" t="str">
        <f>'Product List'!E22</f>
        <v>RPKE-000-011</v>
      </c>
      <c r="D81" s="191" cm="1">
        <f t="array" ref="D81">SUMPRODUCT((F191:J214="RPKE-000-011")*('1 Stand Configurator'!Z31))</f>
        <v>0</v>
      </c>
      <c r="E81" s="52"/>
      <c r="F81" s="52"/>
      <c r="G81" s="52"/>
      <c r="H81" s="52"/>
      <c r="I81" s="52"/>
      <c r="J81" s="52"/>
      <c r="K81" s="52"/>
    </row>
    <row r="82" spans="1:11" ht="15" hidden="1" customHeight="1" x14ac:dyDescent="0.4">
      <c r="A82" s="3"/>
      <c r="B82" s="187" t="str">
        <f>'Product List'!B23</f>
        <v>Flexinet Disposable Mask - FFP3V</v>
      </c>
      <c r="C82" s="41" t="str">
        <f>'Product List'!E23</f>
        <v>RPKE-000-012</v>
      </c>
      <c r="D82" s="191" cm="1">
        <f t="array" ref="D82">SUMPRODUCT((F191:J214="RPKE-000-012")*('1 Stand Configurator'!Z31))</f>
        <v>0</v>
      </c>
      <c r="E82" s="52"/>
      <c r="F82" s="52"/>
      <c r="G82" s="52"/>
      <c r="H82" s="52"/>
      <c r="I82" s="52"/>
      <c r="J82" s="52"/>
      <c r="K82" s="52"/>
    </row>
    <row r="83" spans="1:11" ht="15" hidden="1" customHeight="1" x14ac:dyDescent="0.4">
      <c r="A83" s="3"/>
      <c r="B83" s="187" t="str">
        <f>'Product List'!B24</f>
        <v>Force8 - HalfMask without Filters - Medium</v>
      </c>
      <c r="C83" s="41" t="str">
        <f>'Product List'!E24</f>
        <v>RPKE-000-013</v>
      </c>
      <c r="D83" s="191" cm="1">
        <f t="array" ref="D83">SUMPRODUCT((F191:J214="RPKE-000-013")*('1 Stand Configurator'!Z31))</f>
        <v>0</v>
      </c>
      <c r="E83" s="52"/>
      <c r="F83" s="52"/>
      <c r="G83" s="52"/>
      <c r="H83" s="52"/>
      <c r="I83" s="52"/>
      <c r="J83" s="52"/>
      <c r="K83" s="52"/>
    </row>
    <row r="84" spans="1:11" ht="15" hidden="1" customHeight="1" x14ac:dyDescent="0.4">
      <c r="A84" s="3"/>
      <c r="B84" s="187" t="str">
        <f>'Product List'!B25</f>
        <v>Force8 - HalfMask without Filters - Large</v>
      </c>
      <c r="C84" s="41" t="str">
        <f>'Product List'!E25</f>
        <v>RPKE-000-014</v>
      </c>
      <c r="D84" s="191" cm="1">
        <f t="array" ref="D84">SUMPRODUCT((F191:J214="RPKE-000-014")*('1 Stand Configurator'!Z31))</f>
        <v>0</v>
      </c>
      <c r="E84" s="52"/>
      <c r="F84" s="52"/>
      <c r="G84" s="52"/>
      <c r="H84" s="52"/>
      <c r="I84" s="52"/>
      <c r="J84" s="52"/>
      <c r="K84" s="52"/>
    </row>
    <row r="85" spans="1:11" ht="15" customHeight="1" x14ac:dyDescent="0.4">
      <c r="A85" s="3"/>
      <c r="B85" s="187" t="str">
        <f>'Product List'!B26</f>
        <v>Force8  - with P3 PressToCheck Filters</v>
      </c>
      <c r="C85" s="41" t="str">
        <f>'Product List'!E26</f>
        <v>RPKE-000-015</v>
      </c>
      <c r="D85" s="191" cm="1">
        <f t="array" ref="D85">SUMPRODUCT((F191:J214="RPKE-000-015")*('1 Stand Configurator'!Z31))</f>
        <v>4</v>
      </c>
      <c r="E85" s="52"/>
      <c r="F85" s="52"/>
      <c r="G85" s="52"/>
      <c r="H85" s="52"/>
      <c r="I85" s="52"/>
      <c r="J85" s="52"/>
      <c r="K85" s="52"/>
    </row>
    <row r="86" spans="1:11" x14ac:dyDescent="0.4">
      <c r="A86" s="3"/>
      <c r="B86" s="187" t="str">
        <f>'Product List'!B27</f>
        <v xml:space="preserve">PressToCheck Filters - P3 </v>
      </c>
      <c r="C86" s="41" t="str">
        <f>'Product List'!E27</f>
        <v>RPKE-000-016</v>
      </c>
      <c r="D86" s="191" cm="1">
        <f t="array" ref="D86">SUMPRODUCT((F191:J214="RPKE-000-016")*('1 Stand Configurator'!Z31))</f>
        <v>2</v>
      </c>
      <c r="E86" s="52"/>
      <c r="F86" s="52"/>
      <c r="G86" s="52"/>
      <c r="H86" s="52"/>
      <c r="I86" s="52"/>
      <c r="J86" s="52"/>
      <c r="K86" s="52"/>
    </row>
    <row r="87" spans="1:11" hidden="1" x14ac:dyDescent="0.4">
      <c r="A87" s="3"/>
      <c r="B87" s="187" t="str">
        <f>'Product List'!B28</f>
        <v xml:space="preserve">PressToCheck Filters - A2P3 </v>
      </c>
      <c r="C87" s="41" t="str">
        <f>'Product List'!E28</f>
        <v>RPKE-000-017</v>
      </c>
      <c r="D87" s="191" cm="1">
        <f t="array" ref="D87">SUMPRODUCT((F191:J214="RPKE-000-017")*('1 Stand Configurator'!Z31))</f>
        <v>0</v>
      </c>
      <c r="E87" s="52"/>
      <c r="F87" s="52"/>
      <c r="G87" s="52"/>
      <c r="H87" s="52"/>
      <c r="I87" s="52"/>
      <c r="J87" s="52"/>
      <c r="K87" s="52"/>
    </row>
    <row r="88" spans="1:11" hidden="1" x14ac:dyDescent="0.4">
      <c r="A88" s="3"/>
      <c r="B88" s="187" t="str">
        <f>'Product List'!B29</f>
        <v xml:space="preserve">PressToCheck Filters - ABEK1P3 </v>
      </c>
      <c r="C88" s="41" t="str">
        <f>'Product List'!E29</f>
        <v>RPKE-000-018</v>
      </c>
      <c r="D88" s="191" cm="1">
        <f t="array" ref="D88">SUMPRODUCT((F191:J214="RPKE-000-018")*('1 Stand Configurator'!Z31))</f>
        <v>0</v>
      </c>
      <c r="E88" s="52"/>
      <c r="F88" s="52"/>
      <c r="G88" s="52"/>
      <c r="H88" s="52"/>
      <c r="I88" s="52"/>
      <c r="J88" s="52"/>
      <c r="K88" s="52"/>
    </row>
    <row r="89" spans="1:11" hidden="1" x14ac:dyDescent="0.4">
      <c r="A89" s="3"/>
      <c r="B89" s="187" t="e">
        <f>'Product List'!#REF!</f>
        <v>#REF!</v>
      </c>
      <c r="C89" s="41" t="e">
        <f>'Product List'!#REF!</f>
        <v>#REF!</v>
      </c>
      <c r="D89" s="191" cm="1">
        <f t="array" ref="D89">SUMPRODUCT((F191:J214="RPKE-000-019")*('1 Stand Configurator'!Z31))</f>
        <v>0</v>
      </c>
      <c r="E89" s="52"/>
      <c r="F89" s="52"/>
      <c r="G89" s="52"/>
      <c r="H89" s="52"/>
      <c r="I89" s="52"/>
      <c r="J89" s="52"/>
      <c r="K89" s="52"/>
    </row>
    <row r="90" spans="1:11" hidden="1" x14ac:dyDescent="0.4">
      <c r="A90" s="3"/>
      <c r="B90" s="187" t="e">
        <f>'Product List'!#REF!</f>
        <v>#REF!</v>
      </c>
      <c r="C90" s="41" t="e">
        <f>'Product List'!#REF!</f>
        <v>#REF!</v>
      </c>
      <c r="D90" s="191" cm="1">
        <f t="array" ref="D90">SUMPRODUCT((F191:J214="RPKE-000-020")*('1 Stand Configurator'!Z31))</f>
        <v>0</v>
      </c>
      <c r="E90" s="52"/>
      <c r="F90" s="52"/>
      <c r="G90" s="52"/>
      <c r="H90" s="52"/>
      <c r="I90" s="52"/>
      <c r="J90" s="52"/>
      <c r="K90" s="52"/>
    </row>
    <row r="91" spans="1:11" hidden="1" x14ac:dyDescent="0.4">
      <c r="A91" s="3"/>
      <c r="B91" s="187" t="e">
        <f>'Product List'!#REF!</f>
        <v>#REF!</v>
      </c>
      <c r="C91" s="41" t="e">
        <f>'Product List'!#REF!</f>
        <v>#REF!</v>
      </c>
      <c r="D91" s="191" cm="1">
        <f t="array" ref="D91">SUMPRODUCT((F191:J214="RPKE-000-021")*('1 Stand Configurator'!Z31))</f>
        <v>0</v>
      </c>
      <c r="E91" s="52"/>
      <c r="F91" s="52"/>
      <c r="G91" s="52"/>
      <c r="H91" s="52"/>
      <c r="I91" s="52"/>
      <c r="J91" s="52"/>
      <c r="K91" s="52"/>
    </row>
    <row r="92" spans="1:11" x14ac:dyDescent="0.4">
      <c r="A92" s="3"/>
      <c r="B92" s="187" t="str">
        <f>'Product List'!B30</f>
        <v>Stealth8000 Safety Spectacles - Clear</v>
      </c>
      <c r="C92" s="41" t="str">
        <f>'Product List'!E30</f>
        <v>RPKE-000-022</v>
      </c>
      <c r="D92" s="191" cm="1">
        <f t="array" ref="D92">SUMPRODUCT((F191:J214="RPKE-000-022")*('1 Stand Configurator'!Z31))</f>
        <v>1</v>
      </c>
      <c r="E92" s="52"/>
      <c r="F92" s="52"/>
      <c r="G92" s="52"/>
      <c r="H92" s="52"/>
      <c r="I92" s="52"/>
      <c r="J92" s="52"/>
      <c r="K92" s="52"/>
    </row>
    <row r="93" spans="1:11" x14ac:dyDescent="0.4">
      <c r="A93" s="3"/>
      <c r="B93" s="187" t="str">
        <f>'Product List'!B31</f>
        <v>Stealth8000 Safety Spectacles - Amber</v>
      </c>
      <c r="C93" s="41" t="str">
        <f>'Product List'!E31</f>
        <v>RPKE-000-023</v>
      </c>
      <c r="D93" s="191" cm="1">
        <f t="array" ref="D93">SUMPRODUCT((F191:J214="RPKE-000-023")*('1 Stand Configurator'!Z31))</f>
        <v>1</v>
      </c>
      <c r="E93" s="52"/>
      <c r="F93" s="52"/>
      <c r="G93" s="52"/>
      <c r="H93" s="52"/>
      <c r="I93" s="52"/>
      <c r="J93" s="52"/>
      <c r="K93" s="52"/>
    </row>
    <row r="94" spans="1:11" x14ac:dyDescent="0.4">
      <c r="A94" s="3"/>
      <c r="B94" s="187" t="str">
        <f>'Product List'!B32</f>
        <v>Stealth8000 Safety Spectacles - Smoke</v>
      </c>
      <c r="C94" s="41" t="str">
        <f>'Product List'!E32</f>
        <v>RPKE-000-024</v>
      </c>
      <c r="D94" s="191" cm="1">
        <f t="array" ref="D94">SUMPRODUCT((F191:J214="RPKE-000-024")*('1 Stand Configurator'!Z31))</f>
        <v>1</v>
      </c>
      <c r="E94" s="52"/>
      <c r="F94" s="52"/>
      <c r="G94" s="52"/>
      <c r="H94" s="52"/>
      <c r="I94" s="52"/>
      <c r="J94" s="52"/>
      <c r="K94" s="52"/>
    </row>
    <row r="95" spans="1:11" hidden="1" x14ac:dyDescent="0.4">
      <c r="A95" s="3"/>
      <c r="B95" s="187" t="str">
        <f>'Product List'!B33</f>
        <v>Stealth8000 Safety Spectacles - In/Out</v>
      </c>
      <c r="C95" s="41" t="str">
        <f>'Product List'!E33</f>
        <v>RPKE-000-025</v>
      </c>
      <c r="D95" s="191" cm="1">
        <f t="array" ref="D95">SUMPRODUCT((F191:J214="RPKE-000-025")*('1 Stand Configurator'!Z31))</f>
        <v>0</v>
      </c>
      <c r="E95" s="52"/>
      <c r="F95" s="52"/>
      <c r="G95" s="52"/>
      <c r="H95" s="52"/>
      <c r="I95" s="52"/>
      <c r="J95" s="52"/>
      <c r="K95" s="52"/>
    </row>
    <row r="96" spans="1:11" x14ac:dyDescent="0.4">
      <c r="A96" s="3"/>
      <c r="B96" s="187" t="str">
        <f>'Product List'!B34</f>
        <v>Stealth16g Safety Spectacles - Clear</v>
      </c>
      <c r="C96" s="41" t="str">
        <f>'Product List'!E34</f>
        <v>RPKE-000-026</v>
      </c>
      <c r="D96" s="191" cm="1">
        <f t="array" ref="D96">SUMPRODUCT((F191:J214="RPKE-000-026")*('1 Stand Configurator'!Z31))</f>
        <v>1</v>
      </c>
      <c r="E96" s="52"/>
      <c r="F96" s="52"/>
      <c r="G96" s="52"/>
      <c r="H96" s="52"/>
      <c r="I96" s="52"/>
      <c r="J96" s="52"/>
      <c r="K96" s="52"/>
    </row>
    <row r="97" spans="1:11" x14ac:dyDescent="0.4">
      <c r="A97" s="3"/>
      <c r="B97" s="187" t="str">
        <f>'Product List'!B35</f>
        <v>Stealth16g Safety Spectacles - Amber</v>
      </c>
      <c r="C97" s="41" t="str">
        <f>'Product List'!E35</f>
        <v>RPKE-000-027</v>
      </c>
      <c r="D97" s="191" cm="1">
        <f t="array" ref="D97">SUMPRODUCT((F191:J214="RPKE-000-027")*('1 Stand Configurator'!Z31))</f>
        <v>1</v>
      </c>
      <c r="E97" s="52"/>
      <c r="F97" s="52"/>
      <c r="G97" s="52"/>
      <c r="H97" s="52"/>
      <c r="I97" s="52"/>
      <c r="J97" s="52"/>
      <c r="K97" s="52"/>
    </row>
    <row r="98" spans="1:11" x14ac:dyDescent="0.4">
      <c r="A98" s="3"/>
      <c r="B98" s="187" t="str">
        <f>'Product List'!B36</f>
        <v>Stealth16g Safety Spectacles - Smoke</v>
      </c>
      <c r="C98" s="41" t="str">
        <f>'Product List'!E36</f>
        <v>RPKE-000-028</v>
      </c>
      <c r="D98" s="191" cm="1">
        <f t="array" ref="D98">SUMPRODUCT((F191:J214="RPKE-000-028")*('1 Stand Configurator'!Z31))</f>
        <v>1</v>
      </c>
      <c r="E98" s="52"/>
      <c r="F98" s="52"/>
      <c r="G98" s="52"/>
      <c r="H98" s="52"/>
      <c r="I98" s="52"/>
      <c r="J98" s="52"/>
      <c r="K98" s="52"/>
    </row>
    <row r="99" spans="1:11" hidden="1" x14ac:dyDescent="0.4">
      <c r="A99" s="3"/>
      <c r="B99" s="187" t="str">
        <f>'Product List'!B37</f>
        <v>Stealth LED</v>
      </c>
      <c r="C99" s="41" t="str">
        <f>'Product List'!E37</f>
        <v>RPKE-000-051</v>
      </c>
      <c r="D99" s="191" cm="1">
        <f t="array" ref="D99">SUMPRODUCT((F191:J214="RPKE-000-051")*('1 Stand Configurator'!Z31))</f>
        <v>0</v>
      </c>
      <c r="E99" s="52"/>
      <c r="F99" s="52"/>
      <c r="G99" s="52"/>
      <c r="H99" s="52"/>
      <c r="I99" s="52"/>
      <c r="J99" s="52"/>
      <c r="K99" s="52"/>
    </row>
    <row r="100" spans="1:11" hidden="1" x14ac:dyDescent="0.4">
      <c r="A100" s="3"/>
      <c r="B100" s="187" t="str">
        <f>'Product List'!B38</f>
        <v>PPE Cleaning Sachets x 100</v>
      </c>
      <c r="C100" s="41" t="str">
        <f>'Product List'!E38</f>
        <v>RPKE-000-050</v>
      </c>
      <c r="D100" s="191" cm="1">
        <f t="array" ref="D100">SUMPRODUCT((F191:J214="RPKE-000-050")*('1 Stand Configurator'!Z31))</f>
        <v>0</v>
      </c>
      <c r="E100" s="52"/>
      <c r="F100" s="52"/>
      <c r="G100" s="52"/>
      <c r="H100" s="52"/>
      <c r="I100" s="52"/>
      <c r="J100" s="52"/>
      <c r="K100" s="52"/>
    </row>
    <row r="101" spans="1:11" hidden="1" x14ac:dyDescent="0.4">
      <c r="A101" s="3"/>
      <c r="B101" s="187" t="str">
        <f>'Product List'!B39</f>
        <v>Stealth CoverLite OverSpec - Clear</v>
      </c>
      <c r="C101" s="41" t="str">
        <f>'Product List'!E39</f>
        <v>RPKE-000-029</v>
      </c>
      <c r="D101" s="191" cm="1">
        <f t="array" ref="D101">SUMPRODUCT((F191:J214="RPKE-000-029")*('1 Stand Configurator'!Z31))</f>
        <v>0</v>
      </c>
      <c r="E101" s="52"/>
      <c r="F101" s="52"/>
      <c r="G101" s="52"/>
      <c r="H101" s="52"/>
      <c r="I101" s="52"/>
      <c r="J101" s="52"/>
      <c r="K101" s="52"/>
    </row>
    <row r="102" spans="1:11" hidden="1" x14ac:dyDescent="0.4">
      <c r="A102" s="3"/>
      <c r="B102" s="187" t="str">
        <f>'Product List'!B40</f>
        <v>Stealth CoverLite OverSpec- Smoke</v>
      </c>
      <c r="C102" s="41" t="str">
        <f>'Product List'!E40</f>
        <v>RPKE-000-030</v>
      </c>
      <c r="D102" s="191" cm="1">
        <f t="array" ref="D102">SUMPRODUCT((F191:J214="RPKE-000-030")*('1 Stand Configurator'!Z31))</f>
        <v>0</v>
      </c>
      <c r="E102" s="52"/>
      <c r="F102" s="52"/>
      <c r="G102" s="52"/>
      <c r="H102" s="52"/>
      <c r="I102" s="52"/>
      <c r="J102" s="52"/>
      <c r="K102" s="52"/>
    </row>
    <row r="103" spans="1:11" x14ac:dyDescent="0.4">
      <c r="A103" s="3"/>
      <c r="B103" s="187" t="str">
        <f>'Product List'!B41</f>
        <v>EVOGoggle - Safety Goggle</v>
      </c>
      <c r="C103" s="41" t="str">
        <f>'Product List'!E41</f>
        <v>RPKE-000-031</v>
      </c>
      <c r="D103" s="191" cm="1">
        <f t="array" ref="D103">SUMPRODUCT((F191:J214="RPKE-000-031")*('1 Stand Configurator'!Z31))</f>
        <v>1</v>
      </c>
      <c r="E103" s="52"/>
      <c r="F103" s="52"/>
      <c r="G103" s="52"/>
      <c r="H103" s="52"/>
      <c r="I103" s="52"/>
      <c r="J103" s="52"/>
      <c r="K103" s="52"/>
    </row>
    <row r="104" spans="1:11" hidden="1" x14ac:dyDescent="0.4">
      <c r="A104" s="3"/>
      <c r="B104" s="187" t="str">
        <f>'Product List'!B42</f>
        <v>Sonis1 Headbanded Ear defender - SNR 27</v>
      </c>
      <c r="C104" s="41" t="str">
        <f>'Product List'!E42</f>
        <v>RPKE-000-032</v>
      </c>
      <c r="D104" s="191" cm="1">
        <f t="array" ref="D104">SUMPRODUCT((F191:J214="RPKE-000-032")*('1 Stand Configurator'!Z31))</f>
        <v>0</v>
      </c>
      <c r="E104" s="52"/>
      <c r="F104" s="52"/>
      <c r="G104" s="52"/>
      <c r="H104" s="52"/>
      <c r="I104" s="52"/>
      <c r="J104" s="52"/>
      <c r="K104" s="52"/>
    </row>
    <row r="105" spans="1:11" hidden="1" x14ac:dyDescent="0.4">
      <c r="A105" s="3"/>
      <c r="B105" s="187" t="str">
        <f>'Product List'!B43</f>
        <v>Sonis2 Headbanded Ear defender - SNR 28</v>
      </c>
      <c r="C105" s="41" t="str">
        <f>'Product List'!E43</f>
        <v>RPKE-000-033</v>
      </c>
      <c r="D105" s="191" cm="1">
        <f t="array" ref="D105">SUMPRODUCT((F191:J214="RPKE-000-033")*('1 Stand Configurator'!Z31))</f>
        <v>0</v>
      </c>
      <c r="E105" s="52"/>
      <c r="F105" s="52"/>
      <c r="G105" s="52"/>
      <c r="H105" s="52"/>
      <c r="I105" s="52"/>
      <c r="J105" s="52"/>
      <c r="K105" s="52"/>
    </row>
    <row r="106" spans="1:11" x14ac:dyDescent="0.4">
      <c r="A106" s="3"/>
      <c r="B106" s="187" t="str">
        <f>'Product List'!B44</f>
        <v>SonisC Headbanded Ear defender - SNR 32</v>
      </c>
      <c r="C106" s="41" t="str">
        <f>'Product List'!E44</f>
        <v>RPKE-000-034</v>
      </c>
      <c r="D106" s="191" cm="1">
        <f t="array" ref="D106">SUMPRODUCT((F191:J214="RPKE-000-034")*('1 Stand Configurator'!Z31))</f>
        <v>2</v>
      </c>
      <c r="E106" s="52"/>
      <c r="F106" s="52"/>
      <c r="G106" s="52"/>
      <c r="H106" s="52"/>
      <c r="I106" s="52"/>
      <c r="J106" s="52"/>
      <c r="K106" s="52"/>
    </row>
    <row r="107" spans="1:11" hidden="1" x14ac:dyDescent="0.4">
      <c r="A107" s="3"/>
      <c r="B107" s="187" t="str">
        <f>'Product List'!B45</f>
        <v>Sonis3 Headbanded Ear defender - SNR 37</v>
      </c>
      <c r="C107" s="41" t="str">
        <f>'Product List'!E45</f>
        <v>RPKE-000-035</v>
      </c>
      <c r="D107" s="191" cm="1">
        <f t="array" ref="D107">SUMPRODUCT((F191:J214="RPKE-000-035")*('1 Stand Configurator'!Z31))</f>
        <v>0</v>
      </c>
      <c r="E107" s="52"/>
      <c r="F107" s="52"/>
      <c r="G107" s="52"/>
      <c r="H107" s="52"/>
      <c r="I107" s="52"/>
      <c r="J107" s="52"/>
      <c r="K107" s="52"/>
    </row>
    <row r="108" spans="1:11" hidden="1" x14ac:dyDescent="0.4">
      <c r="A108" s="3"/>
      <c r="B108" s="187" t="str">
        <f>'Product List'!B46</f>
        <v>Sonis1 Helmet Mounted Ear defender - SNR 26</v>
      </c>
      <c r="C108" s="41" t="str">
        <f>'Product List'!E46</f>
        <v>RPKE-000-036</v>
      </c>
      <c r="D108" s="191" cm="1">
        <f t="array" ref="D108">SUMPRODUCT((F191:J214="RPKE-000-036")*('1 Stand Configurator'!Z31))</f>
        <v>0</v>
      </c>
      <c r="E108" s="52"/>
      <c r="F108" s="52"/>
      <c r="G108" s="52"/>
      <c r="H108" s="52"/>
      <c r="I108" s="52"/>
      <c r="J108" s="52"/>
      <c r="K108" s="52"/>
    </row>
    <row r="109" spans="1:11" hidden="1" x14ac:dyDescent="0.4">
      <c r="A109" s="3"/>
      <c r="B109" s="187" t="str">
        <f>'Product List'!B47</f>
        <v>SonisC Helmet Mounted Ear defender - SNR 31</v>
      </c>
      <c r="C109" s="41" t="str">
        <f>'Product List'!E47</f>
        <v>RPKE-000-037</v>
      </c>
      <c r="D109" s="191" cm="1">
        <f t="array" ref="D109">SUMPRODUCT((F191:J214="RPKE-000-037")*('1 Stand Configurator'!Z31))</f>
        <v>0</v>
      </c>
      <c r="E109" s="52"/>
      <c r="F109" s="52"/>
      <c r="G109" s="52"/>
      <c r="H109" s="52"/>
      <c r="I109" s="52"/>
      <c r="J109" s="52"/>
      <c r="K109" s="52"/>
    </row>
    <row r="110" spans="1:11" hidden="1" x14ac:dyDescent="0.4">
      <c r="A110" s="3"/>
      <c r="B110" s="187" t="str">
        <f>'Product List'!B48</f>
        <v>Sonis3 Helmet Mounted Ear defender - SNR 36</v>
      </c>
      <c r="C110" s="41" t="str">
        <f>'Product List'!E48</f>
        <v>RPKE-000-038</v>
      </c>
      <c r="D110" s="191" cm="1">
        <f t="array" ref="D110">SUMPRODUCT((F191:J214="RPKE-000-038")*('1 Stand Configurator'!Z31))</f>
        <v>0</v>
      </c>
      <c r="E110" s="52"/>
      <c r="F110" s="52"/>
      <c r="G110" s="52"/>
      <c r="H110" s="52"/>
      <c r="I110" s="52"/>
      <c r="J110" s="52"/>
      <c r="K110" s="52"/>
    </row>
    <row r="111" spans="1:11" x14ac:dyDescent="0.4">
      <c r="A111" s="3"/>
      <c r="B111" s="187" t="str">
        <f>'Product List'!B49</f>
        <v>SoundStopper Banded Ear Plug</v>
      </c>
      <c r="C111" s="41" t="str">
        <f>'Product List'!E49</f>
        <v>RPKE-000-039</v>
      </c>
      <c r="D111" s="191" cm="1">
        <f t="array" ref="D111">SUMPRODUCT((F191:J214="RPKE-000-039")*('1 Stand Configurator'!Z31))</f>
        <v>1</v>
      </c>
      <c r="E111" s="52"/>
      <c r="F111" s="52"/>
      <c r="G111" s="52"/>
      <c r="H111" s="52"/>
      <c r="I111" s="52"/>
      <c r="J111" s="52"/>
      <c r="K111" s="52"/>
    </row>
    <row r="112" spans="1:11" x14ac:dyDescent="0.4">
      <c r="A112" s="3"/>
      <c r="B112" s="187" t="str">
        <f>'Product List'!B50</f>
        <v>Force10 - FullFace Mask - Medium</v>
      </c>
      <c r="C112" s="41" t="str">
        <f>'Product List'!E50</f>
        <v>RPKE-000-040</v>
      </c>
      <c r="D112" s="191" cm="1">
        <f t="array" ref="D112">SUMPRODUCT((F191:J214="RPKE-000-040")*('1 Stand Configurator'!Z31))</f>
        <v>1</v>
      </c>
      <c r="E112" s="52"/>
      <c r="F112" s="52"/>
      <c r="G112" s="52"/>
      <c r="H112" s="52"/>
      <c r="I112" s="52"/>
      <c r="J112" s="52"/>
      <c r="K112" s="52"/>
    </row>
    <row r="113" spans="1:11" hidden="1" x14ac:dyDescent="0.4">
      <c r="A113" s="3"/>
      <c r="B113" s="187" t="str">
        <f>'Product List'!B51</f>
        <v>Force10 - FullFace Mask - Large</v>
      </c>
      <c r="C113" s="41" t="str">
        <f>'Product List'!E51</f>
        <v>RPKE-000-041</v>
      </c>
      <c r="D113" s="191" cm="1">
        <f t="array" ref="D113">SUMPRODUCT((F191:J214="RPKE-000-041")*('1 Stand Configurator'!Z31))</f>
        <v>0</v>
      </c>
      <c r="E113" s="52"/>
      <c r="F113" s="52"/>
      <c r="G113" s="52"/>
      <c r="H113" s="52"/>
      <c r="I113" s="52"/>
      <c r="J113" s="52"/>
      <c r="K113" s="52"/>
    </row>
    <row r="114" spans="1:11" x14ac:dyDescent="0.4">
      <c r="A114" s="3"/>
      <c r="B114" s="187" t="str">
        <f>'Product List'!B52</f>
        <v>Force10 - FullFace Mask - Medium (UK)</v>
      </c>
      <c r="C114" s="41" t="str">
        <f>'Product List'!E52</f>
        <v>RPKE-000-040</v>
      </c>
      <c r="D114" s="191" cm="1">
        <f t="array" ref="D114">SUMPRODUCT((F191:J214="RPKE-000-040")*('1 Stand Configurator'!Z31))</f>
        <v>1</v>
      </c>
      <c r="E114" s="52"/>
      <c r="F114" s="52"/>
      <c r="G114" s="52"/>
      <c r="H114" s="52"/>
      <c r="I114" s="52"/>
      <c r="J114" s="52"/>
      <c r="K114" s="52"/>
    </row>
    <row r="115" spans="1:11" hidden="1" x14ac:dyDescent="0.4">
      <c r="A115" s="3"/>
      <c r="B115" s="187" t="str">
        <f>'Product List'!B53</f>
        <v xml:space="preserve">BushMaster Landscaping unit - Polycarb </v>
      </c>
      <c r="C115" s="41" t="str">
        <f>'Product List'!E53</f>
        <v>RPKE-000-042</v>
      </c>
      <c r="D115" s="191" cm="1">
        <f t="array" ref="D115">SUMPRODUCT((F191:J214="RPKE-000-042")*('1 Stand Configurator'!Z31))</f>
        <v>0</v>
      </c>
      <c r="E115" s="52"/>
      <c r="F115" s="52"/>
      <c r="G115" s="52"/>
      <c r="H115" s="52"/>
      <c r="I115" s="52"/>
      <c r="J115" s="52"/>
      <c r="K115" s="52"/>
    </row>
    <row r="116" spans="1:11" x14ac:dyDescent="0.4">
      <c r="A116" s="3"/>
      <c r="B116" s="187" t="str">
        <f>'Product List'!B54</f>
        <v>BushMaster Landscaping unit - Wire guaze</v>
      </c>
      <c r="C116" s="41" t="str">
        <f>'Product List'!E54</f>
        <v>RPKE-000-043</v>
      </c>
      <c r="D116" s="191" cm="1">
        <f t="array" ref="D116">SUMPRODUCT((F191:J214="RPKE-000-043")*('1 Stand Configurator'!Z31))</f>
        <v>1</v>
      </c>
      <c r="E116" s="52"/>
      <c r="F116" s="52"/>
      <c r="G116" s="52"/>
      <c r="H116" s="52"/>
      <c r="I116" s="52"/>
      <c r="J116" s="52"/>
      <c r="K116" s="52"/>
    </row>
    <row r="117" spans="1:11" hidden="1" x14ac:dyDescent="0.4">
      <c r="A117" s="3"/>
      <c r="B117" s="187" t="str">
        <f>'Product List'!B55</f>
        <v>EVOLite Forester Forestry unit</v>
      </c>
      <c r="C117" s="41" t="str">
        <f>'Product List'!E55</f>
        <v>RPKE-000-044</v>
      </c>
      <c r="D117" s="191" cm="1">
        <f t="array" ref="D117">SUMPRODUCT((F191:J214="RPKE-000-044")*('1 Stand Configurator'!Z31))</f>
        <v>0</v>
      </c>
      <c r="E117" s="52"/>
      <c r="F117" s="52"/>
      <c r="G117" s="52"/>
      <c r="H117" s="52"/>
      <c r="I117" s="52"/>
      <c r="J117" s="52"/>
      <c r="K117" s="52"/>
    </row>
    <row r="118" spans="1:11" hidden="1" x14ac:dyDescent="0.4">
      <c r="A118" s="3"/>
      <c r="B118" s="187" t="str">
        <f>'Product List'!B56</f>
        <v>EVOGuard M3 Landscaping browguard system</v>
      </c>
      <c r="C118" s="41" t="str">
        <f>'Product List'!E56</f>
        <v>RPKE-000-045</v>
      </c>
      <c r="D118" s="191" cm="1">
        <f t="array" ref="D118">SUMPRODUCT((F191:J214="RPKE-000-045")*('1 Stand Configurator'!Z31))</f>
        <v>0</v>
      </c>
      <c r="E118" s="52"/>
      <c r="F118" s="52"/>
      <c r="G118" s="52"/>
      <c r="H118" s="52"/>
      <c r="I118" s="52"/>
      <c r="J118" s="52"/>
      <c r="K118" s="52"/>
    </row>
    <row r="119" spans="1:11" hidden="1" x14ac:dyDescent="0.4">
      <c r="A119" s="3"/>
      <c r="B119" s="187" t="str">
        <f>'Product List'!B57</f>
        <v>EVOGuard C2 Industrial Browguard System</v>
      </c>
      <c r="C119" s="41" t="str">
        <f>'Product List'!E57</f>
        <v>RPKE-000-046</v>
      </c>
      <c r="D119" s="191" cm="1">
        <f t="array" ref="D119">SUMPRODUCT((F191:J214="RPKE-000-046")*('1 Stand Configurator'!Z31))</f>
        <v>0</v>
      </c>
      <c r="E119" s="52"/>
      <c r="F119" s="52"/>
      <c r="G119" s="52"/>
      <c r="H119" s="52"/>
      <c r="I119" s="52"/>
      <c r="J119" s="52"/>
      <c r="K119" s="52"/>
    </row>
    <row r="120" spans="1:11" hidden="1" x14ac:dyDescent="0.4">
      <c r="A120" s="3"/>
      <c r="B120" s="187" t="str">
        <f>'Product List'!B58</f>
        <v>EVOGuard M3 Forestry helmet</v>
      </c>
      <c r="C120" s="41" t="str">
        <f>'Product List'!E58</f>
        <v>RPKE-000-047</v>
      </c>
      <c r="D120" s="191" cm="1">
        <f t="array" ref="D120">SUMPRODUCT((F191:J214="RPKE-000-047")*('1 Stand Configurator'!Z31))</f>
        <v>0</v>
      </c>
      <c r="E120" s="52"/>
      <c r="F120" s="52"/>
      <c r="G120" s="52"/>
      <c r="H120" s="52"/>
      <c r="I120" s="52"/>
      <c r="J120" s="52"/>
      <c r="K120" s="52"/>
    </row>
    <row r="121" spans="1:11" hidden="1" x14ac:dyDescent="0.4">
      <c r="A121" s="3"/>
      <c r="B121" s="187" t="str">
        <f>'Product List'!B59</f>
        <v>EVOGuard C5Max Electrical helmet</v>
      </c>
      <c r="C121" s="41" t="str">
        <f>'Product List'!E59</f>
        <v>RPKE-000-048</v>
      </c>
      <c r="D121" s="191" cm="1">
        <f t="array" ref="D121">SUMPRODUCT((F191:J214="RPKE-000-048")*('1 Stand Configurator'!Z31))</f>
        <v>0</v>
      </c>
      <c r="E121" s="52"/>
      <c r="F121" s="52"/>
      <c r="G121" s="52"/>
      <c r="H121" s="52"/>
      <c r="I121" s="52"/>
      <c r="J121" s="52"/>
      <c r="K121" s="52"/>
    </row>
    <row r="122" spans="1:11" hidden="1" x14ac:dyDescent="0.4">
      <c r="A122" s="3"/>
      <c r="B122" s="187" t="str">
        <f>'Product List'!B60</f>
        <v>EVOLite Skyworker - Working at Height Helmet</v>
      </c>
      <c r="C122" s="41" t="str">
        <f>'Product List'!E60</f>
        <v>RPKE-000-007</v>
      </c>
      <c r="D122" s="191" cm="1">
        <f t="array" ref="D122">SUMPRODUCT((F191:J214="RPKE-000-007")*('1 Stand Configurator'!Z31))</f>
        <v>0</v>
      </c>
      <c r="E122" s="52"/>
      <c r="F122" s="52"/>
      <c r="G122" s="52"/>
      <c r="H122" s="52"/>
      <c r="I122" s="52"/>
      <c r="J122" s="52"/>
      <c r="K122" s="52"/>
    </row>
    <row r="123" spans="1:11" x14ac:dyDescent="0.4">
      <c r="A123" s="3"/>
      <c r="B123" s="52"/>
      <c r="C123" s="5"/>
      <c r="D123" s="5"/>
      <c r="E123" s="52"/>
      <c r="F123" s="52"/>
      <c r="G123" s="5"/>
      <c r="H123" s="52"/>
      <c r="I123" s="52"/>
      <c r="J123" s="52"/>
      <c r="K123" s="52"/>
    </row>
    <row r="124" spans="1:11" ht="15" customHeight="1" x14ac:dyDescent="0.4">
      <c r="A124" s="3"/>
      <c r="B124" s="39" t="s">
        <v>184</v>
      </c>
      <c r="C124" s="9" t="s">
        <v>53</v>
      </c>
      <c r="D124" s="18" t="s">
        <v>159</v>
      </c>
      <c r="E124" s="52"/>
      <c r="F124" s="52"/>
      <c r="G124" s="5"/>
      <c r="H124" s="52"/>
      <c r="I124" s="52"/>
      <c r="J124" s="52"/>
      <c r="K124" s="52"/>
    </row>
    <row r="125" spans="1:11" ht="5.15" customHeight="1" x14ac:dyDescent="0.4">
      <c r="A125" s="3"/>
      <c r="B125" s="44"/>
      <c r="C125" s="43"/>
      <c r="D125" s="43"/>
      <c r="E125" s="52"/>
      <c r="F125" s="52"/>
      <c r="G125" s="5"/>
      <c r="H125" s="52"/>
      <c r="I125" s="52"/>
      <c r="J125" s="52"/>
      <c r="K125" s="52"/>
    </row>
    <row r="126" spans="1:11" ht="15" customHeight="1" x14ac:dyDescent="0.4">
      <c r="A126" s="3"/>
      <c r="B126" s="187" t="str">
        <f>'Product List'!B5</f>
        <v>EVOLite Safety Helmet - NonVented - White</v>
      </c>
      <c r="C126" s="41" t="str">
        <f>'Product List'!F5</f>
        <v>RNAZ-000-508</v>
      </c>
      <c r="D126" s="191" cm="1">
        <f t="array" ref="D126">SUMPRODUCT((F191:J214="RPKE-000-001")*('1 Stand Configurator'!Z31))</f>
        <v>0</v>
      </c>
      <c r="E126" s="52"/>
      <c r="F126" s="52"/>
      <c r="G126" s="5"/>
      <c r="H126" s="52"/>
      <c r="I126" s="52"/>
      <c r="J126" s="52"/>
      <c r="K126" s="52"/>
    </row>
    <row r="127" spans="1:11" ht="15" hidden="1" customHeight="1" x14ac:dyDescent="0.4">
      <c r="A127" s="3"/>
      <c r="B127" s="187" t="str">
        <f>'Product List'!B6</f>
        <v>EVOLite Safety Helmet - Vented - White</v>
      </c>
      <c r="C127" s="41" t="str">
        <f>'Product List'!F6</f>
        <v>RNAZ-000-506</v>
      </c>
      <c r="D127" s="191" cm="1">
        <f t="array" ref="D127">SUMPRODUCT((F191:J214="RPKE-000-002")*('1 Stand Configurator'!Z31))</f>
        <v>0</v>
      </c>
      <c r="E127" s="52"/>
      <c r="F127" s="52"/>
      <c r="G127" s="5"/>
      <c r="H127" s="52"/>
      <c r="I127" s="52"/>
      <c r="J127" s="52"/>
      <c r="K127" s="52"/>
    </row>
    <row r="128" spans="1:11" ht="15" hidden="1" customHeight="1" x14ac:dyDescent="0.4">
      <c r="A128" s="3"/>
      <c r="B128" s="187" t="str">
        <f>'Product List'!B7</f>
        <v>EVO2 Safety Helmet - NonVented - White</v>
      </c>
      <c r="C128" s="41" t="str">
        <f>'Product List'!F7</f>
        <v>RNAZ-000-507</v>
      </c>
      <c r="D128" s="191" cm="1">
        <f t="array" ref="D128">SUMPRODUCT((F191:J214="RPKE-000-003")*('1 Stand Configurator'!Z31))</f>
        <v>1</v>
      </c>
      <c r="E128" s="52"/>
      <c r="F128" s="52"/>
      <c r="G128" s="52"/>
      <c r="H128" s="52"/>
      <c r="I128" s="52"/>
      <c r="J128" s="52"/>
      <c r="K128" s="52"/>
    </row>
    <row r="129" spans="1:11" ht="15" hidden="1" customHeight="1" x14ac:dyDescent="0.4">
      <c r="A129" s="3"/>
      <c r="B129" s="187" t="str">
        <f>'Product List'!B9</f>
        <v>EVO2 Safety Helmet - Vented - Black</v>
      </c>
      <c r="C129" s="41" t="str">
        <f>'Product List'!F9</f>
        <v>RNAZ-000-504</v>
      </c>
      <c r="D129" s="191" cm="1">
        <f t="array" ref="D129">SUMPRODUCT((F191:J214="RPKE-000-004")*('1 Stand Configurator'!Z31))</f>
        <v>0</v>
      </c>
      <c r="E129" s="52"/>
      <c r="F129" s="52"/>
      <c r="G129" s="52"/>
      <c r="H129" s="52"/>
      <c r="I129" s="52"/>
      <c r="J129" s="52"/>
      <c r="K129" s="52"/>
    </row>
    <row r="130" spans="1:11" x14ac:dyDescent="0.4">
      <c r="A130" s="3"/>
      <c r="B130" s="187" t="str">
        <f>'Product List'!B10</f>
        <v>HardCap AeroLite - BumpCap - Black</v>
      </c>
      <c r="C130" s="41" t="str">
        <f>'Product List'!F10</f>
        <v>RNAZ-000-503</v>
      </c>
      <c r="D130" s="191" cm="1">
        <f t="array" ref="D130">SUMPRODUCT((F191:J214="RPKE-000-005")*('1 Stand Configurator'!Z31))</f>
        <v>1</v>
      </c>
      <c r="E130" s="52"/>
      <c r="F130" s="52"/>
      <c r="G130" s="52"/>
      <c r="H130" s="52"/>
      <c r="I130" s="52"/>
      <c r="J130" s="52"/>
      <c r="K130" s="52"/>
    </row>
    <row r="131" spans="1:11" hidden="1" x14ac:dyDescent="0.4">
      <c r="A131" s="3"/>
      <c r="B131" s="187" t="str">
        <f>'Product List'!B11</f>
        <v>HardCap AeroLite - BumpCap - Blue</v>
      </c>
      <c r="C131" s="41" t="str">
        <f>'Product List'!F11</f>
        <v>RNAZ-000-503</v>
      </c>
      <c r="D131" s="191" cm="1">
        <f t="array" ref="D131">SUMPRODUCT((F191:J214="RPKE-000-006")*('1 Stand Configurator'!Z31))</f>
        <v>0</v>
      </c>
      <c r="E131" s="52"/>
      <c r="F131" s="52"/>
      <c r="G131" s="5"/>
      <c r="H131" s="52"/>
      <c r="I131" s="52"/>
      <c r="J131" s="52"/>
      <c r="K131" s="52"/>
    </row>
    <row r="132" spans="1:11" hidden="1" x14ac:dyDescent="0.4">
      <c r="A132" s="3"/>
      <c r="B132" s="187" t="str">
        <f>'Product List'!B12</f>
        <v>EVOLite Skyworker - Working at Height Helmet</v>
      </c>
      <c r="C132" s="41">
        <f>'Product List'!F12</f>
        <v>0</v>
      </c>
      <c r="D132" s="191" cm="1">
        <f t="array" ref="D132">SUMPRODUCT((F191:J214="RPKE-000-007")*('1 Stand Configurator'!Z31))</f>
        <v>0</v>
      </c>
      <c r="E132" s="52"/>
      <c r="F132" s="52"/>
      <c r="G132" s="5"/>
      <c r="H132" s="52"/>
      <c r="I132" s="52"/>
      <c r="J132" s="52"/>
      <c r="K132" s="52"/>
    </row>
    <row r="133" spans="1:11" hidden="1" x14ac:dyDescent="0.4">
      <c r="A133" s="3"/>
      <c r="B133" s="187" t="str">
        <f>'Product List'!B13</f>
        <v>EVOVistaLens - Vented - White/Smoke</v>
      </c>
      <c r="C133" s="41">
        <f>'Product List'!F13</f>
        <v>0</v>
      </c>
      <c r="D133" s="191" cm="1">
        <f t="array" ref="D133">SUMPRODUCT((F191:J214="RPKE-000-049")*('1 Stand Configurator'!Z31))</f>
        <v>0</v>
      </c>
      <c r="E133" s="52"/>
      <c r="F133" s="52"/>
      <c r="G133" s="5"/>
      <c r="H133" s="52"/>
      <c r="I133" s="52"/>
      <c r="J133" s="52"/>
      <c r="K133" s="52"/>
    </row>
    <row r="134" spans="1:11" ht="15" hidden="1" customHeight="1" x14ac:dyDescent="0.4">
      <c r="A134" s="3"/>
      <c r="B134" s="187" t="str">
        <f>'Product List'!B14</f>
        <v>EVOVistaShield - Vented - White/Smoke</v>
      </c>
      <c r="C134" s="41">
        <f>'Product List'!F14</f>
        <v>0</v>
      </c>
      <c r="D134" s="191" cm="1">
        <f t="array" ref="D134">SUMPRODUCT((F191:J214="RPKE-000-XX1")*('1 Stand Configurator'!Z31))</f>
        <v>0</v>
      </c>
      <c r="E134" s="52"/>
      <c r="F134" s="52"/>
      <c r="G134" s="5"/>
      <c r="H134" s="52"/>
      <c r="I134" s="52"/>
      <c r="J134" s="52"/>
      <c r="K134" s="52"/>
    </row>
    <row r="135" spans="1:11" ht="15" hidden="1" customHeight="1" x14ac:dyDescent="0.4">
      <c r="A135" s="3"/>
      <c r="B135" s="187" t="str">
        <f>'Product List'!B15</f>
        <v>PPE Cleaning Sachets x 100</v>
      </c>
      <c r="C135" s="41">
        <f>'Product List'!F15</f>
        <v>0</v>
      </c>
      <c r="D135" s="191" cm="1">
        <f t="array" ref="D135">SUMPRODUCT((F191:J214="RPKE-000-050")*('1 Stand Configurator'!Z92))</f>
        <v>0</v>
      </c>
      <c r="E135" s="52"/>
      <c r="F135" s="52"/>
      <c r="G135" s="5"/>
      <c r="H135" s="52"/>
      <c r="I135" s="52"/>
      <c r="J135" s="52"/>
      <c r="K135" s="52"/>
    </row>
    <row r="136" spans="1:11" hidden="1" x14ac:dyDescent="0.4">
      <c r="A136" s="3"/>
      <c r="B136" s="187" t="str">
        <f>'Product List'!B16</f>
        <v>SpringFit Disposable Mask - FFP2V</v>
      </c>
      <c r="C136" s="41">
        <f>'Product List'!F16</f>
        <v>0</v>
      </c>
      <c r="D136" s="191" cm="1">
        <f t="array" ref="D136">SUMPRODUCT((F191:J214="RPKE-000-008")*('1 Stand Configurator'!Z31))</f>
        <v>1</v>
      </c>
      <c r="E136" s="52"/>
      <c r="F136" s="52"/>
      <c r="G136" s="5"/>
      <c r="H136" s="52"/>
      <c r="I136" s="52"/>
      <c r="J136" s="52"/>
      <c r="K136" s="52"/>
    </row>
    <row r="137" spans="1:11" ht="15" hidden="1" customHeight="1" x14ac:dyDescent="0.4">
      <c r="A137" s="3"/>
      <c r="B137" s="187" t="str">
        <f>'Product List'!B17</f>
        <v>SpringFit Disposable Mask - FFP3V</v>
      </c>
      <c r="C137" s="41">
        <f>'Product List'!F17</f>
        <v>0</v>
      </c>
      <c r="D137" s="191" cm="1">
        <f t="array" ref="D137">SUMPRODUCT((F191:J214="RPKE-000-009")*('1 Stand Configurator'!Z31))</f>
        <v>2</v>
      </c>
      <c r="E137" s="52"/>
      <c r="F137" s="52"/>
      <c r="G137" s="5"/>
      <c r="H137" s="52"/>
      <c r="I137" s="52"/>
      <c r="J137" s="52"/>
      <c r="K137" s="52"/>
    </row>
    <row r="138" spans="1:11" ht="15" hidden="1" customHeight="1" x14ac:dyDescent="0.4">
      <c r="A138" s="3"/>
      <c r="B138" s="187" t="str">
        <f>'Product List'!B18</f>
        <v>SpringFit Disposable Mask - FFP3OV</v>
      </c>
      <c r="C138" s="41">
        <f>'Product List'!F18</f>
        <v>0</v>
      </c>
      <c r="D138" s="191" cm="1">
        <f t="array" ref="D138">SUMPRODUCT((F191:J214="RPKE-000-010")*('1 Stand Configurator'!Z31))</f>
        <v>1</v>
      </c>
      <c r="E138" s="52"/>
      <c r="F138" s="52"/>
      <c r="G138" s="5"/>
      <c r="H138" s="52"/>
      <c r="I138" s="52"/>
      <c r="J138" s="52"/>
      <c r="K138" s="52"/>
    </row>
    <row r="139" spans="1:11" ht="15" hidden="1" customHeight="1" x14ac:dyDescent="0.4">
      <c r="A139" s="3"/>
      <c r="B139" s="187" t="str">
        <f>'Product List'!B19</f>
        <v>F621 Disposable Mask - FFP2 - x2</v>
      </c>
      <c r="C139" s="41">
        <f>'Product List'!F19</f>
        <v>0</v>
      </c>
      <c r="D139" s="191" cm="1">
        <f t="array" ref="D139">SUMPRODUCT((F191:J214="RPKE-000-XX2")*('1 Stand Configurator'!Z31))</f>
        <v>0</v>
      </c>
      <c r="E139" s="52"/>
      <c r="F139" s="52"/>
      <c r="G139" s="5"/>
      <c r="H139" s="52"/>
      <c r="I139" s="52"/>
      <c r="J139" s="52"/>
      <c r="K139" s="52"/>
    </row>
    <row r="140" spans="1:11" hidden="1" x14ac:dyDescent="0.4">
      <c r="A140" s="3"/>
      <c r="B140" s="187" t="str">
        <f>'Product List'!B20</f>
        <v>F622 Disposable Mask - FFP2V - x 2</v>
      </c>
      <c r="C140" s="41">
        <f>'Product List'!F20</f>
        <v>0</v>
      </c>
      <c r="D140" s="191" cm="1">
        <f t="array" ref="D140">SUMPRODUCT((F191:J214="RPKE-000-XX3")*('1 Stand Configurator'!Z31))</f>
        <v>0</v>
      </c>
      <c r="E140" s="52"/>
      <c r="F140" s="52"/>
      <c r="G140" s="5"/>
      <c r="H140" s="52"/>
      <c r="I140" s="52"/>
      <c r="J140" s="52"/>
      <c r="K140" s="52"/>
    </row>
    <row r="141" spans="1:11" ht="15" hidden="1" customHeight="1" x14ac:dyDescent="0.4">
      <c r="A141" s="3"/>
      <c r="B141" s="187" t="str">
        <f>'Product List'!B21</f>
        <v>F632 Disposable Mask - FFP3V - x2</v>
      </c>
      <c r="C141" s="41">
        <f>'Product List'!F21</f>
        <v>0</v>
      </c>
      <c r="D141" s="191" cm="1">
        <f t="array" ref="D141">SUMPRODUCT((F191:J214="RPKE-000-XX4")*('1 Stand Configurator'!Z31))</f>
        <v>0</v>
      </c>
      <c r="E141" s="52"/>
      <c r="F141" s="52"/>
      <c r="G141" s="5"/>
      <c r="H141" s="52"/>
      <c r="I141" s="52"/>
      <c r="J141" s="52"/>
      <c r="K141" s="52"/>
    </row>
    <row r="142" spans="1:11" ht="15" hidden="1" customHeight="1" x14ac:dyDescent="0.4">
      <c r="A142" s="3"/>
      <c r="B142" s="187" t="str">
        <f>'Product List'!B22</f>
        <v>Flexinet Disposable Mask - FFP2V</v>
      </c>
      <c r="C142" s="41">
        <f>'Product List'!F22</f>
        <v>0</v>
      </c>
      <c r="D142" s="191" cm="1">
        <f t="array" ref="D142">SUMPRODUCT((F191:J214="RPKE-000-011")*('1 Stand Configurator'!Z31))</f>
        <v>0</v>
      </c>
      <c r="E142" s="52"/>
      <c r="F142" s="52"/>
      <c r="G142" s="5"/>
      <c r="H142" s="52"/>
      <c r="I142" s="52"/>
      <c r="J142" s="52"/>
      <c r="K142" s="52"/>
    </row>
    <row r="143" spans="1:11" ht="15" hidden="1" customHeight="1" x14ac:dyDescent="0.4">
      <c r="A143" s="3"/>
      <c r="B143" s="187" t="str">
        <f>'Product List'!B23</f>
        <v>Flexinet Disposable Mask - FFP3V</v>
      </c>
      <c r="C143" s="41">
        <f>'Product List'!F23</f>
        <v>0</v>
      </c>
      <c r="D143" s="191" cm="1">
        <f t="array" ref="D143">SUMPRODUCT((F191:J214="RPKE-000-012")*('1 Stand Configurator'!Z31))</f>
        <v>0</v>
      </c>
      <c r="E143" s="52"/>
      <c r="F143" s="52"/>
      <c r="G143" s="5"/>
      <c r="H143" s="52"/>
      <c r="I143" s="52"/>
      <c r="J143" s="52"/>
      <c r="K143" s="52"/>
    </row>
    <row r="144" spans="1:11" ht="15" hidden="1" customHeight="1" x14ac:dyDescent="0.4">
      <c r="A144" s="3"/>
      <c r="B144" s="187" t="str">
        <f>'Product List'!B24</f>
        <v>Force8 - HalfMask without Filters - Medium</v>
      </c>
      <c r="C144" s="41">
        <f>'Product List'!F24</f>
        <v>0</v>
      </c>
      <c r="D144" s="191" cm="1">
        <f t="array" ref="D144">SUMPRODUCT((F191:J214="RPKE-000-013")*('1 Stand Configurator'!Z31))</f>
        <v>0</v>
      </c>
      <c r="E144" s="52"/>
      <c r="F144" s="52"/>
      <c r="G144" s="5"/>
      <c r="H144" s="52"/>
      <c r="I144" s="52"/>
      <c r="J144" s="52"/>
      <c r="K144" s="52"/>
    </row>
    <row r="145" spans="1:11" hidden="1" x14ac:dyDescent="0.4">
      <c r="A145" s="3"/>
      <c r="B145" s="187" t="str">
        <f>'Product List'!B25</f>
        <v>Force8 - HalfMask without Filters - Large</v>
      </c>
      <c r="C145" s="41">
        <f>'Product List'!F25</f>
        <v>0</v>
      </c>
      <c r="D145" s="191" cm="1">
        <f t="array" ref="D145">SUMPRODUCT((F191:J214="RPKE-000-014")*('1 Stand Configurator'!Z31))</f>
        <v>0</v>
      </c>
      <c r="E145" s="52"/>
      <c r="F145" s="52"/>
      <c r="G145" s="5"/>
      <c r="H145" s="52"/>
      <c r="I145" s="52"/>
      <c r="J145" s="52"/>
      <c r="K145" s="52"/>
    </row>
    <row r="146" spans="1:11" ht="15" hidden="1" customHeight="1" x14ac:dyDescent="0.4">
      <c r="A146" s="3"/>
      <c r="B146" s="187" t="str">
        <f>'Product List'!B26</f>
        <v>Force8  - with P3 PressToCheck Filters</v>
      </c>
      <c r="C146" s="41">
        <f>'Product List'!F26</f>
        <v>0</v>
      </c>
      <c r="D146" s="191" cm="1">
        <f t="array" ref="D146">SUMPRODUCT((F191:J214="RPKE-000-015")*('1 Stand Configurator'!Z31))</f>
        <v>4</v>
      </c>
      <c r="E146" s="52"/>
      <c r="F146" s="52"/>
      <c r="G146" s="5"/>
      <c r="H146" s="52"/>
      <c r="I146" s="52"/>
      <c r="J146" s="52"/>
      <c r="K146" s="52"/>
    </row>
    <row r="147" spans="1:11" ht="15" hidden="1" customHeight="1" x14ac:dyDescent="0.4">
      <c r="A147" s="3"/>
      <c r="B147" s="187" t="str">
        <f>'Product List'!B27</f>
        <v xml:space="preserve">PressToCheck Filters - P3 </v>
      </c>
      <c r="C147" s="41">
        <f>'Product List'!F27</f>
        <v>0</v>
      </c>
      <c r="D147" s="191" cm="1">
        <f t="array" ref="D147">SUMPRODUCT((F191:J214="RPKE-000-016")*('1 Stand Configurator'!Z31))</f>
        <v>2</v>
      </c>
      <c r="E147" s="52"/>
      <c r="F147" s="52"/>
      <c r="G147" s="5"/>
      <c r="H147" s="52"/>
      <c r="I147" s="52"/>
      <c r="J147" s="52"/>
      <c r="K147" s="52"/>
    </row>
    <row r="148" spans="1:11" ht="15" hidden="1" customHeight="1" x14ac:dyDescent="0.4">
      <c r="A148" s="3"/>
      <c r="B148" s="187" t="str">
        <f>'Product List'!B28</f>
        <v xml:space="preserve">PressToCheck Filters - A2P3 </v>
      </c>
      <c r="C148" s="41">
        <f>'Product List'!F28</f>
        <v>0</v>
      </c>
      <c r="D148" s="191" cm="1">
        <f t="array" ref="D148">SUMPRODUCT((F191:J214="RPKE-000-017")*('1 Stand Configurator'!Z31))</f>
        <v>0</v>
      </c>
      <c r="E148" s="52"/>
      <c r="F148" s="52"/>
      <c r="G148" s="5"/>
      <c r="H148" s="52"/>
      <c r="I148" s="52"/>
      <c r="J148" s="52"/>
      <c r="K148" s="52"/>
    </row>
    <row r="149" spans="1:11" hidden="1" x14ac:dyDescent="0.4">
      <c r="A149" s="3"/>
      <c r="B149" s="187" t="str">
        <f>'Product List'!B29</f>
        <v xml:space="preserve">PressToCheck Filters - ABEK1P3 </v>
      </c>
      <c r="C149" s="41">
        <f>'Product List'!F29</f>
        <v>0</v>
      </c>
      <c r="D149" s="191" cm="1">
        <f t="array" ref="D149">SUMPRODUCT((F191:J214="RPKE-000-018")*('1 Stand Configurator'!Z31))</f>
        <v>0</v>
      </c>
      <c r="E149" s="52"/>
      <c r="F149" s="52"/>
      <c r="G149" s="5"/>
      <c r="H149" s="52"/>
      <c r="I149" s="52"/>
      <c r="J149" s="52"/>
      <c r="K149" s="52"/>
    </row>
    <row r="150" spans="1:11" ht="15" hidden="1" customHeight="1" x14ac:dyDescent="0.4">
      <c r="A150" s="3"/>
      <c r="B150" s="187" t="e">
        <f>'Product List'!#REF!</f>
        <v>#REF!</v>
      </c>
      <c r="C150" s="41" t="e">
        <f>'Product List'!#REF!</f>
        <v>#REF!</v>
      </c>
      <c r="D150" s="191" cm="1">
        <f t="array" ref="D150">SUMPRODUCT((F191:J214="RPKE-000-019")*('1 Stand Configurator'!Z31))</f>
        <v>0</v>
      </c>
      <c r="E150" s="52"/>
      <c r="F150" s="52"/>
      <c r="G150" s="5"/>
      <c r="H150" s="52"/>
      <c r="I150" s="52"/>
      <c r="J150" s="52"/>
      <c r="K150" s="52"/>
    </row>
    <row r="151" spans="1:11" ht="15" hidden="1" customHeight="1" x14ac:dyDescent="0.4">
      <c r="A151" s="3"/>
      <c r="B151" s="187" t="e">
        <f>'Product List'!#REF!</f>
        <v>#REF!</v>
      </c>
      <c r="C151" s="41" t="e">
        <f>'Product List'!#REF!</f>
        <v>#REF!</v>
      </c>
      <c r="D151" s="191" cm="1">
        <f t="array" ref="D151">SUMPRODUCT((F191:J214="RPKE-000-020")*('1 Stand Configurator'!Z31))</f>
        <v>0</v>
      </c>
      <c r="E151" s="52"/>
      <c r="F151" s="52"/>
      <c r="G151" s="5"/>
      <c r="H151" s="52"/>
      <c r="I151" s="52"/>
      <c r="J151" s="52"/>
      <c r="K151" s="52"/>
    </row>
    <row r="152" spans="1:11" ht="15" hidden="1" customHeight="1" x14ac:dyDescent="0.4">
      <c r="A152" s="3"/>
      <c r="B152" s="187" t="e">
        <f>'Product List'!#REF!</f>
        <v>#REF!</v>
      </c>
      <c r="C152" s="41" t="e">
        <f>'Product List'!#REF!</f>
        <v>#REF!</v>
      </c>
      <c r="D152" s="191" cm="1">
        <f t="array" ref="D152">SUMPRODUCT((F191:J214="RPKE-000-021")*('1 Stand Configurator'!Z31))</f>
        <v>0</v>
      </c>
      <c r="E152" s="52"/>
      <c r="F152" s="52"/>
      <c r="G152" s="5"/>
      <c r="H152" s="52"/>
      <c r="I152" s="52"/>
      <c r="J152" s="52"/>
      <c r="K152" s="52"/>
    </row>
    <row r="153" spans="1:11" ht="15" hidden="1" customHeight="1" x14ac:dyDescent="0.4">
      <c r="A153" s="3"/>
      <c r="B153" s="187" t="str">
        <f>'Product List'!B30</f>
        <v>Stealth8000 Safety Spectacles - Clear</v>
      </c>
      <c r="C153" s="41">
        <f>'Product List'!F30</f>
        <v>0</v>
      </c>
      <c r="D153" s="191" cm="1">
        <f t="array" ref="D153">SUMPRODUCT((F191:J214="RPKE-000-022")*('1 Stand Configurator'!Z31))</f>
        <v>1</v>
      </c>
      <c r="E153" s="52"/>
      <c r="F153" s="52"/>
      <c r="G153" s="5"/>
      <c r="H153" s="52"/>
      <c r="I153" s="52"/>
      <c r="J153" s="52"/>
      <c r="K153" s="52"/>
    </row>
    <row r="154" spans="1:11" ht="15" hidden="1" customHeight="1" x14ac:dyDescent="0.4">
      <c r="A154" s="3"/>
      <c r="B154" s="187" t="str">
        <f>'Product List'!B31</f>
        <v>Stealth8000 Safety Spectacles - Amber</v>
      </c>
      <c r="C154" s="41">
        <f>'Product List'!F31</f>
        <v>0</v>
      </c>
      <c r="D154" s="191" cm="1">
        <f t="array" ref="D154">SUMPRODUCT((F191:J214="RPKE-000-023")*('1 Stand Configurator'!Z31))</f>
        <v>1</v>
      </c>
      <c r="E154" s="52"/>
      <c r="F154" s="52"/>
      <c r="G154" s="5"/>
      <c r="H154" s="52"/>
      <c r="I154" s="52"/>
      <c r="J154" s="52"/>
      <c r="K154" s="52"/>
    </row>
    <row r="155" spans="1:11" ht="15" hidden="1" customHeight="1" x14ac:dyDescent="0.4">
      <c r="A155" s="3"/>
      <c r="B155" s="187" t="str">
        <f>'Product List'!B32</f>
        <v>Stealth8000 Safety Spectacles - Smoke</v>
      </c>
      <c r="C155" s="41">
        <f>'Product List'!F32</f>
        <v>0</v>
      </c>
      <c r="D155" s="191" cm="1">
        <f t="array" ref="D155">SUMPRODUCT((F191:J214="RPKE-000-024")*('1 Stand Configurator'!Z31))</f>
        <v>1</v>
      </c>
      <c r="E155" s="52"/>
      <c r="F155" s="52"/>
      <c r="G155" s="5"/>
      <c r="H155" s="52"/>
      <c r="I155" s="52"/>
      <c r="J155" s="52"/>
      <c r="K155" s="52"/>
    </row>
    <row r="156" spans="1:11" ht="15" hidden="1" customHeight="1" x14ac:dyDescent="0.4">
      <c r="A156" s="3"/>
      <c r="B156" s="187" t="str">
        <f>'Product List'!B33</f>
        <v>Stealth8000 Safety Spectacles - In/Out</v>
      </c>
      <c r="C156" s="41">
        <f>'Product List'!F33</f>
        <v>0</v>
      </c>
      <c r="D156" s="191" cm="1">
        <f t="array" ref="D156">SUMPRODUCT((F191:J214="RPKE-000-025")*('1 Stand Configurator'!Z31))</f>
        <v>0</v>
      </c>
      <c r="E156" s="52"/>
      <c r="F156" s="52"/>
      <c r="G156" s="5"/>
      <c r="H156" s="52"/>
      <c r="I156" s="52"/>
      <c r="J156" s="52"/>
      <c r="K156" s="52"/>
    </row>
    <row r="157" spans="1:11" ht="15" hidden="1" customHeight="1" x14ac:dyDescent="0.4">
      <c r="A157" s="3"/>
      <c r="B157" s="187" t="str">
        <f>'Product List'!B34</f>
        <v>Stealth16g Safety Spectacles - Clear</v>
      </c>
      <c r="C157" s="41">
        <f>'Product List'!F34</f>
        <v>0</v>
      </c>
      <c r="D157" s="191" cm="1">
        <f t="array" ref="D157">SUMPRODUCT((F191:J214="RPKE-000-026")*('1 Stand Configurator'!Z31))</f>
        <v>1</v>
      </c>
      <c r="E157" s="52"/>
      <c r="F157" s="52"/>
      <c r="G157" s="5"/>
      <c r="H157" s="52"/>
      <c r="I157" s="52"/>
      <c r="J157" s="52"/>
      <c r="K157" s="52"/>
    </row>
    <row r="158" spans="1:11" ht="15" hidden="1" customHeight="1" x14ac:dyDescent="0.4">
      <c r="A158" s="3"/>
      <c r="B158" s="187" t="str">
        <f>'Product List'!B35</f>
        <v>Stealth16g Safety Spectacles - Amber</v>
      </c>
      <c r="C158" s="41">
        <f>'Product List'!F35</f>
        <v>0</v>
      </c>
      <c r="D158" s="191" cm="1">
        <f t="array" ref="D158">SUMPRODUCT((F191:J214="RPKE-000-027")*('1 Stand Configurator'!Z31))</f>
        <v>1</v>
      </c>
      <c r="E158" s="52"/>
      <c r="F158" s="52"/>
      <c r="G158" s="5"/>
      <c r="H158" s="52"/>
      <c r="I158" s="52"/>
      <c r="J158" s="52"/>
      <c r="K158" s="52"/>
    </row>
    <row r="159" spans="1:11" ht="15" hidden="1" customHeight="1" x14ac:dyDescent="0.4">
      <c r="A159" s="3"/>
      <c r="B159" s="187" t="str">
        <f>'Product List'!B36</f>
        <v>Stealth16g Safety Spectacles - Smoke</v>
      </c>
      <c r="C159" s="41">
        <f>'Product List'!F36</f>
        <v>0</v>
      </c>
      <c r="D159" s="191" cm="1">
        <f t="array" ref="D159">SUMPRODUCT((F191:J214="RPKE-000-028")*('1 Stand Configurator'!Z31))</f>
        <v>1</v>
      </c>
      <c r="E159" s="52"/>
      <c r="F159" s="52"/>
      <c r="G159" s="5"/>
      <c r="H159" s="52"/>
      <c r="I159" s="52"/>
      <c r="J159" s="52"/>
      <c r="K159" s="52"/>
    </row>
    <row r="160" spans="1:11" ht="15" hidden="1" customHeight="1" x14ac:dyDescent="0.4">
      <c r="A160" s="3"/>
      <c r="B160" s="187" t="str">
        <f>'Product List'!B37</f>
        <v>Stealth LED</v>
      </c>
      <c r="C160" s="41">
        <f>'Product List'!F37</f>
        <v>0</v>
      </c>
      <c r="D160" s="191" cm="1">
        <f t="array" ref="D160">SUMPRODUCT((F191:J214="RPKE-000-051")*('1 Stand Configurator'!Z31))</f>
        <v>0</v>
      </c>
      <c r="E160" s="52"/>
      <c r="F160" s="52"/>
      <c r="G160" s="5"/>
      <c r="H160" s="52"/>
      <c r="I160" s="52"/>
      <c r="J160" s="52"/>
      <c r="K160" s="52"/>
    </row>
    <row r="161" spans="1:11" ht="15" hidden="1" customHeight="1" x14ac:dyDescent="0.4">
      <c r="A161" s="3"/>
      <c r="B161" s="187" t="str">
        <f>'Product List'!B38</f>
        <v>PPE Cleaning Sachets x 100</v>
      </c>
      <c r="C161" s="41">
        <f>'Product List'!F38</f>
        <v>0</v>
      </c>
      <c r="D161" s="191" cm="1">
        <f t="array" ref="D161">SUMPRODUCT((F191:J214="RPKE-000-050")*('1 Stand Configurator'!Z31))</f>
        <v>0</v>
      </c>
      <c r="E161" s="52"/>
      <c r="F161" s="52"/>
      <c r="G161" s="5"/>
      <c r="H161" s="52"/>
      <c r="I161" s="52"/>
      <c r="J161" s="52"/>
      <c r="K161" s="52"/>
    </row>
    <row r="162" spans="1:11" hidden="1" x14ac:dyDescent="0.4">
      <c r="A162" s="3"/>
      <c r="B162" s="187" t="str">
        <f>'Product List'!B39</f>
        <v>Stealth CoverLite OverSpec - Clear</v>
      </c>
      <c r="C162" s="41">
        <f>'Product List'!F39</f>
        <v>0</v>
      </c>
      <c r="D162" s="191" cm="1">
        <f t="array" ref="D162">SUMPRODUCT((F191:J214="RPKE-000-029")*('1 Stand Configurator'!Z31))</f>
        <v>0</v>
      </c>
      <c r="E162" s="52"/>
      <c r="F162" s="52"/>
      <c r="G162" s="5"/>
      <c r="H162" s="52"/>
      <c r="I162" s="52"/>
      <c r="J162" s="52"/>
      <c r="K162" s="52"/>
    </row>
    <row r="163" spans="1:11" hidden="1" x14ac:dyDescent="0.4">
      <c r="A163" s="3"/>
      <c r="B163" s="187" t="str">
        <f>'Product List'!B40</f>
        <v>Stealth CoverLite OverSpec- Smoke</v>
      </c>
      <c r="C163" s="41">
        <f>'Product List'!F40</f>
        <v>0</v>
      </c>
      <c r="D163" s="191" cm="1">
        <f t="array" ref="D163">SUMPRODUCT((F191:J214="RPKE-000-030")*('1 Stand Configurator'!Z31))</f>
        <v>0</v>
      </c>
      <c r="E163" s="52"/>
      <c r="F163" s="52"/>
      <c r="G163" s="5"/>
      <c r="H163" s="52"/>
      <c r="I163" s="52"/>
      <c r="J163" s="52"/>
      <c r="K163" s="52"/>
    </row>
    <row r="164" spans="1:11" hidden="1" x14ac:dyDescent="0.4">
      <c r="A164" s="3"/>
      <c r="B164" s="187" t="str">
        <f>'Product List'!B41</f>
        <v>EVOGoggle - Safety Goggle</v>
      </c>
      <c r="C164" s="41">
        <f>'Product List'!F41</f>
        <v>0</v>
      </c>
      <c r="D164" s="191" cm="1">
        <f t="array" ref="D164">SUMPRODUCT((F191:J214="RPKE-000-031")*('1 Stand Configurator'!Z31))</f>
        <v>1</v>
      </c>
      <c r="E164" s="52"/>
      <c r="F164" s="52"/>
      <c r="G164" s="5"/>
      <c r="H164" s="52"/>
      <c r="I164" s="52"/>
      <c r="J164" s="52"/>
      <c r="K164" s="52"/>
    </row>
    <row r="165" spans="1:11" hidden="1" x14ac:dyDescent="0.4">
      <c r="A165" s="3"/>
      <c r="B165" s="187" t="str">
        <f>'Product List'!B42</f>
        <v>Sonis1 Headbanded Ear defender - SNR 27</v>
      </c>
      <c r="C165" s="41">
        <f>'Product List'!F42</f>
        <v>0</v>
      </c>
      <c r="D165" s="191" cm="1">
        <f t="array" ref="D165">SUMPRODUCT((F191:J214="RPKE-000-032")*('1 Stand Configurator'!Z31))</f>
        <v>0</v>
      </c>
      <c r="E165" s="52"/>
      <c r="F165" s="52"/>
      <c r="G165" s="5"/>
      <c r="H165" s="52"/>
      <c r="I165" s="52"/>
      <c r="J165" s="52"/>
      <c r="K165" s="52"/>
    </row>
    <row r="166" spans="1:11" hidden="1" x14ac:dyDescent="0.4">
      <c r="A166" s="3"/>
      <c r="B166" s="187" t="str">
        <f>'Product List'!B43</f>
        <v>Sonis2 Headbanded Ear defender - SNR 28</v>
      </c>
      <c r="C166" s="41">
        <f>'Product List'!F43</f>
        <v>0</v>
      </c>
      <c r="D166" s="191" cm="1">
        <f t="array" ref="D166">SUMPRODUCT((F191:J214="RPKE-000-033")*('1 Stand Configurator'!Z31))</f>
        <v>0</v>
      </c>
      <c r="E166" s="52"/>
      <c r="F166" s="52"/>
      <c r="G166" s="5"/>
      <c r="H166" s="52"/>
      <c r="I166" s="52"/>
      <c r="J166" s="52"/>
      <c r="K166" s="52"/>
    </row>
    <row r="167" spans="1:11" hidden="1" x14ac:dyDescent="0.4">
      <c r="A167" s="3"/>
      <c r="B167" s="187" t="str">
        <f>'Product List'!B44</f>
        <v>SonisC Headbanded Ear defender - SNR 32</v>
      </c>
      <c r="C167" s="41">
        <f>'Product List'!F44</f>
        <v>0</v>
      </c>
      <c r="D167" s="191" cm="1">
        <f t="array" ref="D167">SUMPRODUCT((F191:J214="RPKE-000-034")*('1 Stand Configurator'!Z31))</f>
        <v>2</v>
      </c>
      <c r="E167" s="52"/>
      <c r="F167" s="52"/>
      <c r="G167" s="5"/>
      <c r="H167" s="52"/>
      <c r="I167" s="52"/>
      <c r="J167" s="52"/>
      <c r="K167" s="52"/>
    </row>
    <row r="168" spans="1:11" hidden="1" x14ac:dyDescent="0.4">
      <c r="A168" s="3"/>
      <c r="B168" s="187" t="str">
        <f>'Product List'!B45</f>
        <v>Sonis3 Headbanded Ear defender - SNR 37</v>
      </c>
      <c r="C168" s="41">
        <f>'Product List'!F45</f>
        <v>0</v>
      </c>
      <c r="D168" s="191" cm="1">
        <f t="array" ref="D168">SUMPRODUCT((F191:J214="RPKE-000-035")*('1 Stand Configurator'!Z31))</f>
        <v>0</v>
      </c>
      <c r="E168" s="52"/>
      <c r="F168" s="52"/>
      <c r="G168" s="5"/>
      <c r="H168" s="52"/>
      <c r="I168" s="52"/>
      <c r="J168" s="52"/>
      <c r="K168" s="52"/>
    </row>
    <row r="169" spans="1:11" hidden="1" x14ac:dyDescent="0.4">
      <c r="A169" s="3"/>
      <c r="B169" s="187" t="str">
        <f>'Product List'!B46</f>
        <v>Sonis1 Helmet Mounted Ear defender - SNR 26</v>
      </c>
      <c r="C169" s="41">
        <f>'Product List'!F46</f>
        <v>0</v>
      </c>
      <c r="D169" s="191" cm="1">
        <f t="array" ref="D169">SUMPRODUCT((F191:J214="RPKE-000-036")*('1 Stand Configurator'!Z31))</f>
        <v>0</v>
      </c>
      <c r="E169" s="52"/>
      <c r="F169" s="52"/>
      <c r="G169" s="5"/>
      <c r="H169" s="52"/>
      <c r="I169" s="52"/>
      <c r="J169" s="52"/>
      <c r="K169" s="52"/>
    </row>
    <row r="170" spans="1:11" hidden="1" x14ac:dyDescent="0.4">
      <c r="A170" s="3"/>
      <c r="B170" s="187" t="str">
        <f>'Product List'!B47</f>
        <v>SonisC Helmet Mounted Ear defender - SNR 31</v>
      </c>
      <c r="C170" s="41">
        <f>'Product List'!F47</f>
        <v>0</v>
      </c>
      <c r="D170" s="191" cm="1">
        <f t="array" ref="D170">SUMPRODUCT((F191:J214="RPKE-000-037")*('1 Stand Configurator'!Z31))</f>
        <v>0</v>
      </c>
      <c r="E170" s="52"/>
      <c r="F170" s="52"/>
      <c r="G170" s="5"/>
      <c r="H170" s="52"/>
      <c r="I170" s="52"/>
      <c r="J170" s="52"/>
      <c r="K170" s="52"/>
    </row>
    <row r="171" spans="1:11" hidden="1" x14ac:dyDescent="0.4">
      <c r="A171" s="3"/>
      <c r="B171" s="187" t="str">
        <f>'Product List'!B48</f>
        <v>Sonis3 Helmet Mounted Ear defender - SNR 36</v>
      </c>
      <c r="C171" s="41">
        <f>'Product List'!F48</f>
        <v>0</v>
      </c>
      <c r="D171" s="191" cm="1">
        <f t="array" ref="D171">SUMPRODUCT((F191:J214="RPKE-000-038")*('1 Stand Configurator'!Z31))</f>
        <v>0</v>
      </c>
      <c r="E171" s="52"/>
      <c r="F171" s="52"/>
      <c r="G171" s="5"/>
      <c r="H171" s="52"/>
      <c r="I171" s="52"/>
      <c r="J171" s="52"/>
      <c r="K171" s="52"/>
    </row>
    <row r="172" spans="1:11" hidden="1" x14ac:dyDescent="0.4">
      <c r="A172" s="3"/>
      <c r="B172" s="187" t="str">
        <f>'Product List'!B49</f>
        <v>SoundStopper Banded Ear Plug</v>
      </c>
      <c r="C172" s="41">
        <f>'Product List'!F49</f>
        <v>0</v>
      </c>
      <c r="D172" s="191" cm="1">
        <f t="array" ref="D172">SUMPRODUCT((F191:J214="RPKE-000-039")*('1 Stand Configurator'!Z31))</f>
        <v>1</v>
      </c>
      <c r="E172" s="52"/>
      <c r="F172" s="52"/>
      <c r="G172" s="5"/>
      <c r="H172" s="52"/>
      <c r="I172" s="52"/>
      <c r="J172" s="52"/>
      <c r="K172" s="52"/>
    </row>
    <row r="173" spans="1:11" hidden="1" x14ac:dyDescent="0.4">
      <c r="A173" s="3"/>
      <c r="B173" s="187" t="str">
        <f>'Product List'!B50</f>
        <v>Force10 - FullFace Mask - Medium</v>
      </c>
      <c r="C173" s="41">
        <f>'Product List'!F50</f>
        <v>0</v>
      </c>
      <c r="D173" s="191" cm="1">
        <f t="array" ref="D173">SUMPRODUCT((F191:J214="RPKE-000-040")*('1 Stand Configurator'!Z31))</f>
        <v>1</v>
      </c>
      <c r="E173" s="52"/>
      <c r="F173" s="52"/>
      <c r="G173" s="5"/>
      <c r="H173" s="52"/>
      <c r="I173" s="52"/>
      <c r="J173" s="52"/>
      <c r="K173" s="52"/>
    </row>
    <row r="174" spans="1:11" hidden="1" x14ac:dyDescent="0.4">
      <c r="A174" s="3"/>
      <c r="B174" s="187" t="str">
        <f>'Product List'!B51</f>
        <v>Force10 - FullFace Mask - Large</v>
      </c>
      <c r="C174" s="41">
        <f>'Product List'!F51</f>
        <v>0</v>
      </c>
      <c r="D174" s="191" cm="1">
        <f t="array" ref="D174">SUMPRODUCT((F191:J214="RPKE-000-041")*('1 Stand Configurator'!Z31))</f>
        <v>0</v>
      </c>
      <c r="E174" s="52"/>
      <c r="F174" s="52"/>
      <c r="G174" s="5"/>
      <c r="H174" s="52"/>
      <c r="I174" s="52"/>
      <c r="J174" s="52"/>
      <c r="K174" s="52"/>
    </row>
    <row r="175" spans="1:11" hidden="1" x14ac:dyDescent="0.4">
      <c r="A175" s="3"/>
      <c r="B175" s="187" t="str">
        <f>'Product List'!B52</f>
        <v>Force10 - FullFace Mask - Medium (UK)</v>
      </c>
      <c r="C175" s="41">
        <f>'Product List'!F52</f>
        <v>0</v>
      </c>
      <c r="D175" s="191" cm="1">
        <f t="array" ref="D175">SUMPRODUCT((F191:J214="RPKE-000-040")*('1 Stand Configurator'!Z31))</f>
        <v>1</v>
      </c>
      <c r="E175" s="52"/>
      <c r="F175" s="52"/>
      <c r="G175" s="5"/>
      <c r="H175" s="52"/>
      <c r="I175" s="52"/>
      <c r="J175" s="52"/>
      <c r="K175" s="52"/>
    </row>
    <row r="176" spans="1:11" hidden="1" x14ac:dyDescent="0.4">
      <c r="A176" s="3"/>
      <c r="B176" s="187" t="str">
        <f>'Product List'!B53</f>
        <v xml:space="preserve">BushMaster Landscaping unit - Polycarb </v>
      </c>
      <c r="C176" s="41">
        <f>'Product List'!F53</f>
        <v>0</v>
      </c>
      <c r="D176" s="191" cm="1">
        <f t="array" ref="D176">SUMPRODUCT((F191:J214="RPKE-000-042")*('1 Stand Configurator'!Z31))</f>
        <v>0</v>
      </c>
      <c r="E176" s="52"/>
      <c r="F176" s="52"/>
      <c r="G176" s="5"/>
      <c r="H176" s="52"/>
      <c r="I176" s="52"/>
      <c r="J176" s="52"/>
      <c r="K176" s="52"/>
    </row>
    <row r="177" spans="1:11" hidden="1" x14ac:dyDescent="0.4">
      <c r="A177" s="3"/>
      <c r="B177" s="187" t="str">
        <f>'Product List'!B54</f>
        <v>BushMaster Landscaping unit - Wire guaze</v>
      </c>
      <c r="C177" s="41">
        <f>'Product List'!F54</f>
        <v>0</v>
      </c>
      <c r="D177" s="191" cm="1">
        <f t="array" ref="D177">SUMPRODUCT((F191:J214="RPKE-000-043")*('1 Stand Configurator'!Z31))</f>
        <v>1</v>
      </c>
      <c r="E177" s="52"/>
      <c r="F177" s="52"/>
      <c r="G177" s="5"/>
      <c r="H177" s="52"/>
      <c r="I177" s="52"/>
      <c r="J177" s="52"/>
      <c r="K177" s="52"/>
    </row>
    <row r="178" spans="1:11" hidden="1" x14ac:dyDescent="0.4">
      <c r="A178" s="3"/>
      <c r="B178" s="187" t="str">
        <f>'Product List'!B55</f>
        <v>EVOLite Forester Forestry unit</v>
      </c>
      <c r="C178" s="41">
        <f>'Product List'!F55</f>
        <v>0</v>
      </c>
      <c r="D178" s="191" cm="1">
        <f t="array" ref="D178">SUMPRODUCT((F191:J214="RPKE-000-044")*('1 Stand Configurator'!Z31))</f>
        <v>0</v>
      </c>
      <c r="E178" s="52"/>
      <c r="F178" s="52"/>
      <c r="G178" s="5"/>
      <c r="H178" s="52"/>
      <c r="I178" s="52"/>
      <c r="J178" s="52"/>
      <c r="K178" s="52"/>
    </row>
    <row r="179" spans="1:11" hidden="1" x14ac:dyDescent="0.4">
      <c r="A179" s="3"/>
      <c r="B179" s="187" t="str">
        <f>'Product List'!B56</f>
        <v>EVOGuard M3 Landscaping browguard system</v>
      </c>
      <c r="C179" s="41">
        <f>'Product List'!F56</f>
        <v>0</v>
      </c>
      <c r="D179" s="191" cm="1">
        <f t="array" ref="D179">SUMPRODUCT((F191:J214="RPKE-000-045")*('1 Stand Configurator'!Z31))</f>
        <v>0</v>
      </c>
      <c r="E179" s="52"/>
      <c r="F179" s="52"/>
      <c r="G179" s="5"/>
      <c r="H179" s="52"/>
      <c r="I179" s="52"/>
      <c r="J179" s="52"/>
      <c r="K179" s="52"/>
    </row>
    <row r="180" spans="1:11" hidden="1" x14ac:dyDescent="0.4">
      <c r="A180" s="3"/>
      <c r="B180" s="187" t="str">
        <f>'Product List'!B57</f>
        <v>EVOGuard C2 Industrial Browguard System</v>
      </c>
      <c r="C180" s="41">
        <f>'Product List'!F57</f>
        <v>0</v>
      </c>
      <c r="D180" s="191" cm="1">
        <f t="array" ref="D180">SUMPRODUCT((F191:J214="RPKE-000-046")*('1 Stand Configurator'!Z31))</f>
        <v>0</v>
      </c>
      <c r="E180" s="52"/>
      <c r="F180" s="52"/>
      <c r="G180" s="5"/>
      <c r="H180" s="52"/>
      <c r="I180" s="52"/>
      <c r="J180" s="52"/>
      <c r="K180" s="52"/>
    </row>
    <row r="181" spans="1:11" hidden="1" x14ac:dyDescent="0.4">
      <c r="A181" s="3"/>
      <c r="B181" s="187" t="str">
        <f>'Product List'!B58</f>
        <v>EVOGuard M3 Forestry helmet</v>
      </c>
      <c r="C181" s="41">
        <f>'Product List'!F58</f>
        <v>0</v>
      </c>
      <c r="D181" s="191" cm="1">
        <f t="array" ref="D181">SUMPRODUCT((F191:J214="RPKE-000-047")*('1 Stand Configurator'!Z31))</f>
        <v>0</v>
      </c>
      <c r="E181" s="52"/>
      <c r="F181" s="52"/>
      <c r="G181" s="5"/>
      <c r="H181" s="52"/>
      <c r="I181" s="52"/>
      <c r="J181" s="52"/>
      <c r="K181" s="52"/>
    </row>
    <row r="182" spans="1:11" hidden="1" x14ac:dyDescent="0.4">
      <c r="A182" s="3"/>
      <c r="B182" s="187" t="str">
        <f>'Product List'!B59</f>
        <v>EVOGuard C5Max Electrical helmet</v>
      </c>
      <c r="C182" s="41">
        <f>'Product List'!F59</f>
        <v>0</v>
      </c>
      <c r="D182" s="191" cm="1">
        <f t="array" ref="D182">SUMPRODUCT((F191:J214="RPKE-000-048")*('1 Stand Configurator'!Z31))</f>
        <v>0</v>
      </c>
      <c r="E182" s="52"/>
      <c r="F182" s="52"/>
      <c r="G182" s="5"/>
      <c r="H182" s="52"/>
      <c r="I182" s="52"/>
      <c r="J182" s="52"/>
      <c r="K182" s="52"/>
    </row>
    <row r="183" spans="1:11" hidden="1" x14ac:dyDescent="0.4">
      <c r="A183" s="3"/>
      <c r="B183" s="187" t="str">
        <f>'Product List'!B60</f>
        <v>EVOLite Skyworker - Working at Height Helmet</v>
      </c>
      <c r="C183" s="41">
        <f>'Product List'!F60</f>
        <v>0</v>
      </c>
      <c r="D183" s="191" cm="1">
        <f t="array" ref="D183">SUMPRODUCT((F191:J214="RPKE-000-007")*('1 Stand Configurator'!Z31))</f>
        <v>0</v>
      </c>
      <c r="E183" s="52"/>
      <c r="F183" s="52"/>
      <c r="G183" s="5"/>
      <c r="H183" s="52"/>
      <c r="I183" s="52"/>
      <c r="J183" s="52"/>
      <c r="K183" s="52"/>
    </row>
    <row r="184" spans="1:11" x14ac:dyDescent="0.4">
      <c r="A184" s="3"/>
      <c r="B184" s="52"/>
      <c r="C184" s="5"/>
      <c r="D184" s="5"/>
      <c r="E184" s="52"/>
      <c r="F184" s="52"/>
      <c r="G184" s="5"/>
      <c r="H184" s="52"/>
      <c r="I184" s="52"/>
      <c r="J184" s="52"/>
      <c r="K184" s="52"/>
    </row>
    <row r="185" spans="1:11" x14ac:dyDescent="0.4">
      <c r="A185" s="3"/>
      <c r="B185" s="52"/>
      <c r="C185" s="5"/>
      <c r="D185" s="5"/>
      <c r="E185" s="52"/>
      <c r="F185" s="52"/>
      <c r="G185" s="5"/>
      <c r="H185" s="52"/>
      <c r="I185" s="52"/>
      <c r="J185" s="52"/>
      <c r="K185" s="52"/>
    </row>
    <row r="186" spans="1:11" x14ac:dyDescent="0.4">
      <c r="A186" s="3"/>
      <c r="B186" s="52"/>
      <c r="C186" s="5"/>
      <c r="D186" s="5"/>
      <c r="E186" s="52"/>
      <c r="F186" s="280" t="s">
        <v>172</v>
      </c>
      <c r="G186" s="279"/>
      <c r="H186" s="281"/>
      <c r="I186" s="281"/>
      <c r="J186" s="281"/>
      <c r="K186" s="52"/>
    </row>
    <row r="187" spans="1:11" x14ac:dyDescent="0.4">
      <c r="A187" s="3"/>
      <c r="B187" s="52"/>
      <c r="C187" s="5"/>
      <c r="D187" s="5"/>
      <c r="E187" s="52"/>
      <c r="F187" s="279" t="s">
        <v>181</v>
      </c>
      <c r="G187" s="279"/>
      <c r="H187" s="279"/>
      <c r="I187" s="279"/>
      <c r="J187" s="279"/>
      <c r="K187" s="52"/>
    </row>
    <row r="188" spans="1:11" x14ac:dyDescent="0.4">
      <c r="A188" s="3"/>
      <c r="B188" s="52"/>
      <c r="C188" s="5"/>
      <c r="D188" s="5"/>
      <c r="E188" s="52"/>
      <c r="F188" s="52"/>
      <c r="G188" s="5"/>
      <c r="H188" s="52"/>
      <c r="I188" s="52"/>
      <c r="J188" s="52"/>
      <c r="K188" s="52"/>
    </row>
    <row r="189" spans="1:11" ht="29.15" x14ac:dyDescent="0.4">
      <c r="A189" s="3"/>
      <c r="B189" s="52"/>
      <c r="C189" s="5"/>
      <c r="D189" s="5"/>
      <c r="E189" s="52"/>
      <c r="F189" s="9" t="s">
        <v>61</v>
      </c>
      <c r="G189" s="40" t="s">
        <v>62</v>
      </c>
      <c r="H189" s="52"/>
      <c r="I189" s="9" t="s">
        <v>61</v>
      </c>
      <c r="J189" s="40" t="s">
        <v>62</v>
      </c>
      <c r="K189" s="52"/>
    </row>
    <row r="190" spans="1:11" x14ac:dyDescent="0.4">
      <c r="A190" s="3"/>
      <c r="B190" s="52"/>
      <c r="C190" s="5"/>
      <c r="D190" s="5"/>
      <c r="E190" s="52"/>
      <c r="F190" s="5"/>
      <c r="G190" s="192"/>
      <c r="H190" s="52"/>
      <c r="I190" s="52"/>
      <c r="J190" s="52"/>
      <c r="K190" s="52"/>
    </row>
    <row r="191" spans="1:11" x14ac:dyDescent="0.4">
      <c r="A191" s="3"/>
      <c r="B191" s="52"/>
      <c r="C191" s="5"/>
      <c r="D191" s="5"/>
      <c r="E191" s="52"/>
      <c r="F191" s="41">
        <f>'2 Stand Configurator'!E7</f>
        <v>1</v>
      </c>
      <c r="G191" s="41" t="str">
        <f>'1 Stand Configurator'!D7</f>
        <v>RPKE-000-022</v>
      </c>
      <c r="H191" s="52"/>
      <c r="I191" s="41">
        <f>'2 Stand Configurator'!E19</f>
        <v>13</v>
      </c>
      <c r="J191" s="41" t="str">
        <f>'1 Stand Configurator'!D19</f>
        <v>RPKE-000-008</v>
      </c>
      <c r="K191" s="52"/>
    </row>
    <row r="192" spans="1:11" x14ac:dyDescent="0.4">
      <c r="A192" s="3"/>
      <c r="B192" s="52"/>
      <c r="C192" s="5"/>
      <c r="D192" s="5"/>
      <c r="E192" s="52"/>
      <c r="F192" s="41">
        <f>'2 Stand Configurator'!E8</f>
        <v>2</v>
      </c>
      <c r="G192" s="41" t="str">
        <f>'1 Stand Configurator'!D8</f>
        <v>RPKE-000-023</v>
      </c>
      <c r="H192" s="52"/>
      <c r="I192" s="41">
        <f>'2 Stand Configurator'!E20</f>
        <v>14</v>
      </c>
      <c r="J192" s="41" t="str">
        <f>'1 Stand Configurator'!D20</f>
        <v>RPKE-000-009</v>
      </c>
      <c r="K192" s="52"/>
    </row>
    <row r="193" spans="1:11" x14ac:dyDescent="0.4">
      <c r="A193" s="3"/>
      <c r="B193" s="52"/>
      <c r="C193" s="5"/>
      <c r="D193" s="5"/>
      <c r="E193" s="52"/>
      <c r="F193" s="41">
        <f>'2 Stand Configurator'!E9</f>
        <v>3</v>
      </c>
      <c r="G193" s="41" t="str">
        <f>'1 Stand Configurator'!D9</f>
        <v>RPKE-000-024</v>
      </c>
      <c r="H193" s="52"/>
      <c r="I193" s="41">
        <f>'2 Stand Configurator'!E21</f>
        <v>15</v>
      </c>
      <c r="J193" s="41" t="str">
        <f>'1 Stand Configurator'!D21</f>
        <v>RPKE-000-009</v>
      </c>
      <c r="K193" s="52"/>
    </row>
    <row r="194" spans="1:11" x14ac:dyDescent="0.4">
      <c r="A194" s="3"/>
      <c r="B194" s="52"/>
      <c r="C194" s="5"/>
      <c r="D194" s="5"/>
      <c r="E194" s="52"/>
      <c r="F194" s="41">
        <f>'2 Stand Configurator'!E10</f>
        <v>4</v>
      </c>
      <c r="G194" s="41" t="str">
        <f>'1 Stand Configurator'!D10</f>
        <v>RPKE-000-026</v>
      </c>
      <c r="H194" s="52"/>
      <c r="I194" s="41">
        <f>'2 Stand Configurator'!E22</f>
        <v>16</v>
      </c>
      <c r="J194" s="41" t="str">
        <f>'1 Stand Configurator'!D22</f>
        <v>RPKE-000-010</v>
      </c>
      <c r="K194" s="52"/>
    </row>
    <row r="195" spans="1:11" x14ac:dyDescent="0.4">
      <c r="A195" s="3"/>
      <c r="B195" s="52"/>
      <c r="C195" s="5"/>
      <c r="D195" s="5"/>
      <c r="E195" s="52"/>
      <c r="F195" s="41">
        <f>'2 Stand Configurator'!E11</f>
        <v>5</v>
      </c>
      <c r="G195" s="41" t="str">
        <f>'1 Stand Configurator'!D11</f>
        <v>RPKE-000-027</v>
      </c>
      <c r="H195" s="52"/>
      <c r="I195" s="41">
        <f>'2 Stand Configurator'!E23</f>
        <v>17</v>
      </c>
      <c r="J195" s="41" t="str">
        <f>'1 Stand Configurator'!D23</f>
        <v>RPKE-000-015</v>
      </c>
      <c r="K195" s="52"/>
    </row>
    <row r="196" spans="1:11" x14ac:dyDescent="0.4">
      <c r="A196" s="3"/>
      <c r="B196" s="52"/>
      <c r="C196" s="5"/>
      <c r="D196" s="5"/>
      <c r="E196" s="52"/>
      <c r="F196" s="41">
        <f>'2 Stand Configurator'!E12</f>
        <v>6</v>
      </c>
      <c r="G196" s="41" t="str">
        <f>'1 Stand Configurator'!D12</f>
        <v>RPKE-000-028</v>
      </c>
      <c r="H196" s="52"/>
      <c r="I196" s="41">
        <f>'2 Stand Configurator'!E24</f>
        <v>18</v>
      </c>
      <c r="J196" s="41" t="str">
        <f>'1 Stand Configurator'!D24</f>
        <v>RPKE-000-015</v>
      </c>
      <c r="K196" s="52"/>
    </row>
    <row r="197" spans="1:11" x14ac:dyDescent="0.4">
      <c r="A197" s="3"/>
      <c r="B197" s="52"/>
      <c r="C197" s="5"/>
      <c r="D197" s="5"/>
      <c r="E197" s="52"/>
      <c r="F197" s="41">
        <f>'2 Stand Configurator'!E13</f>
        <v>7</v>
      </c>
      <c r="G197" s="41" t="str">
        <f>'1 Stand Configurator'!D13</f>
        <v>RPKE-000-031</v>
      </c>
      <c r="H197" s="52"/>
      <c r="I197" s="41">
        <f>'2 Stand Configurator'!E25</f>
        <v>19</v>
      </c>
      <c r="J197" s="41" t="str">
        <f>'1 Stand Configurator'!D25</f>
        <v>RPKE-000-015</v>
      </c>
      <c r="K197" s="52"/>
    </row>
    <row r="198" spans="1:11" x14ac:dyDescent="0.4">
      <c r="A198" s="3"/>
      <c r="B198" s="52"/>
      <c r="C198" s="5"/>
      <c r="D198" s="5"/>
      <c r="E198" s="52"/>
      <c r="F198" s="41">
        <f>'2 Stand Configurator'!E14</f>
        <v>8</v>
      </c>
      <c r="G198" s="41" t="str">
        <f>'1 Stand Configurator'!D14</f>
        <v>RPKE-000-039</v>
      </c>
      <c r="H198" s="52"/>
      <c r="I198" s="41">
        <f>'2 Stand Configurator'!E26</f>
        <v>20</v>
      </c>
      <c r="J198" s="41" t="str">
        <f>'1 Stand Configurator'!D26</f>
        <v>RPKE-000-015</v>
      </c>
      <c r="K198" s="52"/>
    </row>
    <row r="199" spans="1:11" x14ac:dyDescent="0.4">
      <c r="A199" s="3"/>
      <c r="B199" s="52"/>
      <c r="C199" s="5"/>
      <c r="D199" s="5"/>
      <c r="E199" s="52"/>
      <c r="F199" s="41">
        <f>'2 Stand Configurator'!E15</f>
        <v>9</v>
      </c>
      <c r="G199" s="41" t="str">
        <f>'1 Stand Configurator'!D15</f>
        <v>RPKE-000-034</v>
      </c>
      <c r="H199" s="52"/>
      <c r="I199" s="41">
        <f>'2 Stand Configurator'!E27</f>
        <v>21</v>
      </c>
      <c r="J199" s="41" t="str">
        <f>'1 Stand Configurator'!D27</f>
        <v>RPKE-000-016</v>
      </c>
      <c r="K199" s="52"/>
    </row>
    <row r="200" spans="1:11" x14ac:dyDescent="0.4">
      <c r="A200" s="3"/>
      <c r="B200" s="52"/>
      <c r="C200" s="5"/>
      <c r="D200" s="5"/>
      <c r="E200" s="52"/>
      <c r="F200" s="41">
        <f>'2 Stand Configurator'!E16</f>
        <v>10</v>
      </c>
      <c r="G200" s="41" t="str">
        <f>'1 Stand Configurator'!D16</f>
        <v>RPKE-000-034</v>
      </c>
      <c r="H200" s="52"/>
      <c r="I200" s="41">
        <f>'2 Stand Configurator'!E28</f>
        <v>22</v>
      </c>
      <c r="J200" s="41" t="str">
        <f>'1 Stand Configurator'!D28</f>
        <v>RPKE-000-016</v>
      </c>
      <c r="K200" s="52"/>
    </row>
    <row r="201" spans="1:11" x14ac:dyDescent="0.4">
      <c r="A201" s="3"/>
      <c r="B201" s="52"/>
      <c r="C201" s="5"/>
      <c r="D201" s="5"/>
      <c r="E201" s="52"/>
      <c r="F201" s="41">
        <f>'2 Stand Configurator'!E17</f>
        <v>11</v>
      </c>
      <c r="G201" s="41" t="str">
        <f>'1 Stand Configurator'!D17</f>
        <v>RPKE-000-005</v>
      </c>
      <c r="H201" s="52"/>
      <c r="I201" s="41">
        <f>'2 Stand Configurator'!E29</f>
        <v>23</v>
      </c>
      <c r="J201" s="41" t="str">
        <f>'1 Stand Configurator'!D29</f>
        <v>RPKE-000-043</v>
      </c>
      <c r="K201" s="52"/>
    </row>
    <row r="202" spans="1:11" x14ac:dyDescent="0.4">
      <c r="A202" s="3"/>
      <c r="B202" s="52"/>
      <c r="C202" s="5"/>
      <c r="D202" s="5"/>
      <c r="E202" s="52"/>
      <c r="F202" s="41">
        <f>'2 Stand Configurator'!E18</f>
        <v>12</v>
      </c>
      <c r="G202" s="41" t="str">
        <f>'1 Stand Configurator'!D18</f>
        <v>RPKE-000-003</v>
      </c>
      <c r="H202" s="52"/>
      <c r="I202" s="41">
        <f>'2 Stand Configurator'!E30</f>
        <v>24</v>
      </c>
      <c r="J202" s="41" t="str">
        <f>'1 Stand Configurator'!D30</f>
        <v>RPKE-000-040</v>
      </c>
      <c r="K202" s="52"/>
    </row>
    <row r="203" spans="1:11" x14ac:dyDescent="0.4">
      <c r="A203" s="3"/>
      <c r="B203" s="52"/>
      <c r="C203" s="5"/>
      <c r="D203" s="5"/>
      <c r="E203" s="5"/>
      <c r="F203" s="5"/>
      <c r="G203" s="52"/>
      <c r="H203" s="52"/>
      <c r="I203" s="5"/>
      <c r="J203" s="52"/>
      <c r="K203" s="52"/>
    </row>
    <row r="204" spans="1:11" x14ac:dyDescent="0.4">
      <c r="A204" s="3"/>
      <c r="B204" s="52"/>
      <c r="C204" s="5"/>
      <c r="D204" s="5"/>
      <c r="E204" s="5"/>
      <c r="F204" s="5"/>
      <c r="G204" s="52"/>
      <c r="H204" s="52"/>
      <c r="I204" s="5"/>
      <c r="J204" s="52"/>
      <c r="K204" s="52"/>
    </row>
    <row r="205" spans="1:11" x14ac:dyDescent="0.4">
      <c r="A205" s="3"/>
      <c r="B205" s="52"/>
      <c r="C205" s="5"/>
      <c r="D205" s="5"/>
      <c r="E205" s="5"/>
      <c r="F205" s="5"/>
      <c r="G205" s="52"/>
      <c r="H205" s="52"/>
      <c r="I205" s="5"/>
      <c r="J205" s="52"/>
      <c r="K205" s="52"/>
    </row>
    <row r="206" spans="1:11" x14ac:dyDescent="0.4">
      <c r="A206" s="3"/>
      <c r="B206" s="52"/>
      <c r="C206" s="5"/>
      <c r="D206" s="5"/>
      <c r="E206" s="5"/>
      <c r="F206" s="5"/>
      <c r="G206" s="52"/>
      <c r="H206" s="52"/>
      <c r="I206" s="5"/>
      <c r="J206" s="52"/>
      <c r="K206" s="52"/>
    </row>
    <row r="207" spans="1:11" x14ac:dyDescent="0.4">
      <c r="A207" s="3"/>
      <c r="B207" s="52"/>
      <c r="C207" s="5"/>
      <c r="D207" s="5"/>
      <c r="E207" s="5"/>
      <c r="F207" s="5"/>
      <c r="G207" s="52"/>
      <c r="H207" s="52"/>
      <c r="I207" s="5"/>
      <c r="J207" s="52"/>
      <c r="K207" s="52"/>
    </row>
    <row r="208" spans="1:11" x14ac:dyDescent="0.4">
      <c r="A208" s="3"/>
      <c r="B208" s="52"/>
      <c r="C208" s="5"/>
      <c r="D208" s="5"/>
      <c r="E208" s="5"/>
      <c r="F208" s="5"/>
      <c r="G208" s="52"/>
      <c r="H208" s="52"/>
      <c r="I208" s="5"/>
      <c r="J208" s="52"/>
      <c r="K208" s="52"/>
    </row>
    <row r="209" spans="1:11" x14ac:dyDescent="0.4">
      <c r="A209" s="3"/>
      <c r="B209" s="52"/>
      <c r="C209" s="5"/>
      <c r="D209" s="5"/>
      <c r="E209" s="5"/>
      <c r="F209" s="5"/>
      <c r="G209" s="52"/>
      <c r="H209" s="52"/>
      <c r="I209" s="5"/>
      <c r="J209" s="52"/>
      <c r="K209" s="52"/>
    </row>
    <row r="210" spans="1:11" x14ac:dyDescent="0.4">
      <c r="A210" s="3"/>
      <c r="B210" s="52"/>
      <c r="C210" s="5"/>
      <c r="D210" s="5"/>
      <c r="E210" s="5"/>
      <c r="F210" s="5"/>
      <c r="G210" s="52"/>
      <c r="H210" s="52"/>
      <c r="I210" s="5"/>
      <c r="J210" s="52"/>
      <c r="K210" s="52"/>
    </row>
    <row r="211" spans="1:11" x14ac:dyDescent="0.4">
      <c r="A211" s="3"/>
      <c r="B211" s="52"/>
      <c r="C211" s="5"/>
      <c r="D211" s="5"/>
      <c r="E211" s="5"/>
      <c r="F211" s="5"/>
      <c r="G211" s="52"/>
      <c r="H211" s="52"/>
      <c r="I211" s="5"/>
      <c r="J211" s="52"/>
      <c r="K211" s="52"/>
    </row>
    <row r="212" spans="1:11" x14ac:dyDescent="0.4">
      <c r="A212" s="3"/>
      <c r="B212" s="52"/>
      <c r="C212" s="5"/>
      <c r="D212" s="5"/>
      <c r="E212" s="5"/>
      <c r="F212" s="5"/>
      <c r="G212" s="52"/>
      <c r="H212" s="52"/>
      <c r="I212" s="5"/>
      <c r="J212" s="52"/>
      <c r="K212" s="52"/>
    </row>
    <row r="213" spans="1:11" x14ac:dyDescent="0.4">
      <c r="A213" s="3"/>
      <c r="B213" s="52"/>
      <c r="C213" s="5"/>
      <c r="D213" s="5"/>
      <c r="E213" s="5"/>
      <c r="F213" s="5"/>
      <c r="G213" s="52"/>
      <c r="H213" s="52"/>
      <c r="I213" s="5"/>
      <c r="J213" s="52"/>
      <c r="K213" s="52"/>
    </row>
    <row r="214" spans="1:11" x14ac:dyDescent="0.4">
      <c r="A214" s="3"/>
      <c r="B214" s="52"/>
      <c r="C214" s="5"/>
      <c r="D214" s="5"/>
      <c r="E214" s="5"/>
      <c r="F214" s="5"/>
      <c r="G214" s="52"/>
      <c r="H214" s="52"/>
      <c r="I214" s="52"/>
      <c r="J214" s="52"/>
      <c r="K214" s="52"/>
    </row>
    <row r="215" spans="1:11" x14ac:dyDescent="0.4">
      <c r="A215" s="3"/>
      <c r="B215" s="52"/>
      <c r="C215" s="5"/>
      <c r="D215" s="5"/>
      <c r="E215" s="52"/>
      <c r="F215" s="52"/>
      <c r="G215" s="5"/>
      <c r="H215" s="52"/>
      <c r="I215" s="52"/>
      <c r="J215" s="52"/>
      <c r="K215" s="52"/>
    </row>
    <row r="216" spans="1:11" x14ac:dyDescent="0.4">
      <c r="A216" s="3"/>
      <c r="B216" s="52"/>
      <c r="C216" s="5"/>
      <c r="D216" s="5"/>
      <c r="E216" s="52"/>
      <c r="F216" s="52"/>
      <c r="G216" s="5"/>
      <c r="H216" s="52"/>
      <c r="I216" s="52"/>
      <c r="J216" s="52"/>
      <c r="K216" s="52"/>
    </row>
    <row r="217" spans="1:11" x14ac:dyDescent="0.4">
      <c r="C217" s="20"/>
    </row>
    <row r="218" spans="1:11" x14ac:dyDescent="0.4">
      <c r="C218" s="20"/>
    </row>
    <row r="219" spans="1:11" x14ac:dyDescent="0.4">
      <c r="C219" s="20"/>
    </row>
    <row r="220" spans="1:11" x14ac:dyDescent="0.4">
      <c r="C220" s="20"/>
    </row>
    <row r="221" spans="1:11" x14ac:dyDescent="0.4">
      <c r="C221" s="20"/>
    </row>
    <row r="222" spans="1:11" x14ac:dyDescent="0.4">
      <c r="C222" s="20"/>
    </row>
    <row r="223" spans="1:11" x14ac:dyDescent="0.4">
      <c r="C223" s="20"/>
    </row>
    <row r="224" spans="1:11" x14ac:dyDescent="0.4">
      <c r="C224" s="20"/>
    </row>
    <row r="225" spans="3:3" x14ac:dyDescent="0.4">
      <c r="C225" s="20"/>
    </row>
    <row r="226" spans="3:3" x14ac:dyDescent="0.4">
      <c r="C226" s="20"/>
    </row>
    <row r="227" spans="3:3" x14ac:dyDescent="0.4">
      <c r="C227" s="20"/>
    </row>
    <row r="228" spans="3:3" x14ac:dyDescent="0.4">
      <c r="C228" s="20"/>
    </row>
    <row r="229" spans="3:3" x14ac:dyDescent="0.4">
      <c r="C229" s="20"/>
    </row>
    <row r="230" spans="3:3" x14ac:dyDescent="0.4">
      <c r="C230" s="20"/>
    </row>
    <row r="231" spans="3:3" x14ac:dyDescent="0.4">
      <c r="C231" s="20"/>
    </row>
    <row r="232" spans="3:3" x14ac:dyDescent="0.4">
      <c r="C232" s="20"/>
    </row>
    <row r="233" spans="3:3" x14ac:dyDescent="0.4">
      <c r="C233" s="20"/>
    </row>
    <row r="234" spans="3:3" x14ac:dyDescent="0.4">
      <c r="C234" s="20"/>
    </row>
    <row r="235" spans="3:3" x14ac:dyDescent="0.4">
      <c r="C235" s="20"/>
    </row>
    <row r="236" spans="3:3" x14ac:dyDescent="0.4">
      <c r="C236" s="20"/>
    </row>
    <row r="237" spans="3:3" x14ac:dyDescent="0.4">
      <c r="C237" s="20"/>
    </row>
    <row r="238" spans="3:3" x14ac:dyDescent="0.4">
      <c r="C238" s="20"/>
    </row>
    <row r="239" spans="3:3" x14ac:dyDescent="0.4">
      <c r="C239" s="20"/>
    </row>
    <row r="240" spans="3:3" x14ac:dyDescent="0.4">
      <c r="C240" s="20"/>
    </row>
    <row r="241" spans="3:3" x14ac:dyDescent="0.4">
      <c r="C241" s="20"/>
    </row>
    <row r="242" spans="3:3" x14ac:dyDescent="0.4">
      <c r="C242" s="20"/>
    </row>
    <row r="243" spans="3:3" x14ac:dyDescent="0.4">
      <c r="C243" s="20"/>
    </row>
    <row r="244" spans="3:3" x14ac:dyDescent="0.4">
      <c r="C244" s="20"/>
    </row>
    <row r="245" spans="3:3" x14ac:dyDescent="0.4">
      <c r="C245" s="20"/>
    </row>
    <row r="246" spans="3:3" x14ac:dyDescent="0.4">
      <c r="C246" s="20"/>
    </row>
    <row r="247" spans="3:3" x14ac:dyDescent="0.4">
      <c r="C247" s="20"/>
    </row>
    <row r="248" spans="3:3" x14ac:dyDescent="0.4">
      <c r="C248" s="20"/>
    </row>
    <row r="249" spans="3:3" x14ac:dyDescent="0.4">
      <c r="C249" s="20"/>
    </row>
    <row r="250" spans="3:3" x14ac:dyDescent="0.4">
      <c r="C250" s="20"/>
    </row>
    <row r="251" spans="3:3" x14ac:dyDescent="0.4">
      <c r="C251" s="20"/>
    </row>
    <row r="252" spans="3:3" x14ac:dyDescent="0.4">
      <c r="C252" s="20"/>
    </row>
    <row r="253" spans="3:3" x14ac:dyDescent="0.4">
      <c r="C253" s="20"/>
    </row>
    <row r="254" spans="3:3" x14ac:dyDescent="0.4">
      <c r="C254" s="20"/>
    </row>
    <row r="255" spans="3:3" x14ac:dyDescent="0.4">
      <c r="C255" s="20"/>
    </row>
    <row r="256" spans="3:3" x14ac:dyDescent="0.4">
      <c r="C256" s="20"/>
    </row>
    <row r="257" spans="3:3" x14ac:dyDescent="0.4">
      <c r="C257" s="20"/>
    </row>
    <row r="258" spans="3:3" x14ac:dyDescent="0.4">
      <c r="C258" s="20"/>
    </row>
    <row r="259" spans="3:3" x14ac:dyDescent="0.4">
      <c r="C259" s="20"/>
    </row>
    <row r="260" spans="3:3" x14ac:dyDescent="0.4">
      <c r="C260" s="20"/>
    </row>
    <row r="261" spans="3:3" x14ac:dyDescent="0.4">
      <c r="C261" s="20"/>
    </row>
    <row r="262" spans="3:3" x14ac:dyDescent="0.4">
      <c r="C262" s="20"/>
    </row>
    <row r="263" spans="3:3" x14ac:dyDescent="0.4">
      <c r="C263" s="20"/>
    </row>
    <row r="264" spans="3:3" x14ac:dyDescent="0.4">
      <c r="C264" s="20"/>
    </row>
    <row r="265" spans="3:3" x14ac:dyDescent="0.4">
      <c r="C265" s="20"/>
    </row>
    <row r="266" spans="3:3" x14ac:dyDescent="0.4">
      <c r="C266" s="20"/>
    </row>
    <row r="267" spans="3:3" x14ac:dyDescent="0.4">
      <c r="C267" s="20"/>
    </row>
    <row r="268" spans="3:3" x14ac:dyDescent="0.4">
      <c r="C268" s="20"/>
    </row>
    <row r="269" spans="3:3" x14ac:dyDescent="0.4">
      <c r="C269" s="20"/>
    </row>
    <row r="270" spans="3:3" x14ac:dyDescent="0.4">
      <c r="C270" s="20"/>
    </row>
    <row r="271" spans="3:3" x14ac:dyDescent="0.4">
      <c r="C271" s="20"/>
    </row>
    <row r="272" spans="3:3" x14ac:dyDescent="0.4">
      <c r="C272" s="20"/>
    </row>
    <row r="273" spans="3:3" x14ac:dyDescent="0.4">
      <c r="C273" s="20"/>
    </row>
    <row r="274" spans="3:3" x14ac:dyDescent="0.4">
      <c r="C274" s="20"/>
    </row>
    <row r="275" spans="3:3" x14ac:dyDescent="0.4">
      <c r="C275" s="20"/>
    </row>
    <row r="276" spans="3:3" x14ac:dyDescent="0.4">
      <c r="C276" s="20"/>
    </row>
    <row r="277" spans="3:3" x14ac:dyDescent="0.4">
      <c r="C277" s="20"/>
    </row>
    <row r="278" spans="3:3" x14ac:dyDescent="0.4">
      <c r="C278" s="20"/>
    </row>
  </sheetData>
  <sheetProtection algorithmName="SHA-512" hashValue="PNsQ92ofp0XRr9IQyUHsYDdtlsvpSz2UwFv/Ugo4hM6JqDBfi2Go7CBfr0rHIYT9PghG/xqy7W+mgxhrwHALhg==" saltValue="LtsryW9sUvy2v6Cv90tMUg==" spinCount="100000" sheet="1" selectLockedCells="1"/>
  <autoFilter ref="B5:D183" xr:uid="{00000000-0009-0000-0000-000001000000}">
    <filterColumn colId="0">
      <filters blank="1">
        <filter val="BushMaster Landscaping unit - Polycarb"/>
        <filter val="BushMaster Landscaping unit - Wire guaze"/>
        <filter val="EVO2 Safety Helmet - NonVented - White"/>
        <filter val="EVO2 Safety Helmet - Vented - White"/>
        <filter val="EVOGoggle - Safety Goggle"/>
        <filter val="EVOGuard C2 Industrial Browguard System"/>
        <filter val="EVOGuard C5Max Electrical helmet"/>
        <filter val="EVOGuard M3 Forestry helmet"/>
        <filter val="EVOGuard M3 Landscaping browguard system"/>
        <filter val="EVOLite Forester Forestry unit"/>
        <filter val="EVOLite Safety Helmet - NonVented - White"/>
        <filter val="EVOLite Safety Helmet - Vented - White"/>
        <filter val="EVOLite Skyworker - Working at Height Helmet"/>
        <filter val="EVOVistaLens - Vented - White/Smoke"/>
        <filter val="EVOVistaShield - Vented - White/Smoke"/>
        <filter val="F621 Disposable Mask - FFP2"/>
        <filter val="F622 Disposable Mask - FFP2V"/>
        <filter val="F632 Disposable Mask - FFP3V"/>
        <filter val="Flexinet Disposable Mask - FFP2V"/>
        <filter val="Flexinet Disposable Mask - FFP3V"/>
        <filter val="Force10 - FullFace Mask - Large"/>
        <filter val="Force10 - FullFace Mask - Medium"/>
        <filter val="Force10 - FullFace Mask - Medium (UK)"/>
        <filter val="Force8  - with P3 PressToCheck Filters"/>
        <filter val="Force8 - HalfMask without Filters - Large"/>
        <filter val="Force8 - HalfMask without Filters - Medium"/>
        <filter val="Galactus Safety Spectacles - Clear"/>
        <filter val="Galactus Safety Spectacles - In/Out"/>
        <filter val="Galactus Safety Spectacles - Smoke"/>
        <filter val="HardCap AeroLite - BumpCap - Black"/>
        <filter val="HardCap AeroLite - BumpCap - Blue"/>
        <filter val="Header board"/>
        <filter val="Helmet Holders"/>
        <filter val="Magnets (adapt when Product List changes)"/>
        <filter val="Narrow Shelf"/>
        <filter val="Pegs"/>
        <filter val="PPE Cleaning Sachets x 100"/>
        <filter val="PressToCheck Filters - A2P3"/>
        <filter val="PressToCheck Filters - ABEK1P3"/>
        <filter val="PressToCheck Filters - P3"/>
        <filter val="Product Name and Despcription"/>
        <filter val="Sonis1 Headbanded Ear defender - SNR 27"/>
        <filter val="Sonis1 Helmet Mounted Ear defender - SNR 26"/>
        <filter val="Sonis2 Headbanded Ear defender - SNR 28"/>
        <filter val="Sonis3 Headbanded Ear defender - SNR 37"/>
        <filter val="Sonis3 Helmet Mounted Ear defender - SNR 36"/>
        <filter val="SonisC Headbanded Ear defender - SNR 32"/>
        <filter val="SonisC Helmet Mounted Ear defender - SNR 31"/>
        <filter val="SoundStopper Banded Ear Plug"/>
        <filter val="SpringFit Disposable Mask - FFP2V"/>
        <filter val="SpringFit Disposable Mask - FFP3OV"/>
        <filter val="SpringFit Disposable Mask - FFP3V"/>
        <filter val="Stand"/>
        <filter val="Stealth CoverLite OverSpec - Clear"/>
        <filter val="Stealth CoverLite OverSpec- Smoke"/>
        <filter val="Stealth LED"/>
        <filter val="Stealth16g Safety Spectacles - Amber"/>
        <filter val="Stealth16g Safety Spectacles - Clear"/>
        <filter val="Stealth16g Safety Spectacles - Smoke"/>
        <filter val="Stealth8000 Safety Spectacles - Amber"/>
        <filter val="Stealth8000 Safety Spectacles - Clear"/>
        <filter val="Stealth8000 Safety Spectacles - In/Out"/>
        <filter val="Stealth8000 Safety Spectacles - Smoke"/>
        <filter val="Stickers (adapt when Product List changes)"/>
      </filters>
    </filterColumn>
    <filterColumn colId="1">
      <filters blank="1">
        <filter val="AAF000-001-100"/>
        <filter val="AEB030-0AY-000"/>
        <filter val="AEE090-070-21X"/>
        <filter val="AFZ101-131-100"/>
        <filter val="AGM020-623-000"/>
        <filter val="AJA170-000-100"/>
        <filter val="ASA790-161-200"/>
        <filter val="ASA790-161-300"/>
        <filter val="ASA790-166-400"/>
        <filter val="ASA920-161-200"/>
        <filter val="ASA920-161-300"/>
        <filter val="ASA920-163-000"/>
        <filter val="BGA172-202-N00"/>
        <filter val="BGA182-206-N00"/>
        <filter val="BGA802-206-N00"/>
        <filter val="BHT0A3-0L5-N00"/>
        <filter val="BMN990-001-700"/>
        <filter val="BPB003-004-000"/>
        <filter val="RNAZ-000-500"/>
        <filter val="RNAZ-000-501"/>
        <filter val="RNAZ-000-502"/>
        <filter val="RNAZ-000-503"/>
        <filter val="RNAZ-000-504"/>
        <filter val="RNAZ-000-505"/>
        <filter val="RNAZ-000-506"/>
        <filter val="RNAZ-000-507"/>
        <filter val="RNAZ-000-508"/>
        <filter val="RPKE-000-001"/>
        <filter val="RPKE-000-002"/>
        <filter val="RPKE-000-003"/>
        <filter val="RPKE-000-004"/>
        <filter val="RPKE-000-005"/>
        <filter val="RPKE-000-006"/>
        <filter val="RPKE-000-007"/>
        <filter val="RPKE-000-008"/>
        <filter val="RPKE-000-009"/>
        <filter val="RPKE-000-010"/>
        <filter val="RPKE-000-011"/>
        <filter val="RPKE-000-012"/>
        <filter val="RPKE-000-013"/>
        <filter val="RPKE-000-014"/>
        <filter val="RPKE-000-015"/>
        <filter val="RPKE-000-016"/>
        <filter val="RPKE-000-017"/>
        <filter val="RPKE-000-018"/>
        <filter val="RPKE-000-019"/>
        <filter val="RPKE-000-020"/>
        <filter val="RPKE-000-021"/>
        <filter val="RPKE-000-022"/>
        <filter val="RPKE-000-023"/>
        <filter val="RPKE-000-024"/>
        <filter val="RPKE-000-025"/>
        <filter val="RPKE-000-026"/>
        <filter val="RPKE-000-027"/>
        <filter val="RPKE-000-028"/>
        <filter val="RPKE-000-029"/>
        <filter val="RPKE-000-030"/>
        <filter val="RPKE-000-031"/>
        <filter val="RPKE-000-032"/>
        <filter val="RPKE-000-033"/>
        <filter val="RPKE-000-034"/>
        <filter val="RPKE-000-035"/>
        <filter val="RPKE-000-036"/>
        <filter val="RPKE-000-037"/>
        <filter val="RPKE-000-038"/>
        <filter val="RPKE-000-039"/>
        <filter val="RPKE-000-040"/>
        <filter val="RPKE-000-041"/>
        <filter val="RPKE-000-042"/>
        <filter val="RPKE-000-043"/>
        <filter val="RPKE-000-044"/>
        <filter val="RPKE-000-045"/>
        <filter val="RPKE-000-046"/>
        <filter val="RPKE-000-047"/>
        <filter val="RPKE-000-048"/>
        <filter val="RPKE-000-049"/>
        <filter val="RPKE-000-050"/>
        <filter val="RPKE-000-051"/>
        <filter val="RPKE-000-XX1"/>
        <filter val="RPKE-000-XX2"/>
        <filter val="RPKE-000-XX3"/>
        <filter val="RPKE-000-XX4"/>
        <filter val="SKU"/>
        <filter val="VVP200-000-000"/>
      </filters>
    </filterColumn>
    <filterColumn colId="2">
      <filters blank="1">
        <filter val="1"/>
        <filter val="10"/>
        <filter val="2"/>
        <filter val="20"/>
        <filter val="4"/>
        <filter val="40"/>
        <filter val="Qty"/>
      </filters>
    </filterColumn>
  </autoFilter>
  <mergeCells count="6">
    <mergeCell ref="F187:J187"/>
    <mergeCell ref="B2:D2"/>
    <mergeCell ref="F2:J2"/>
    <mergeCell ref="B3:D3"/>
    <mergeCell ref="F3:J3"/>
    <mergeCell ref="F186:J186"/>
  </mergeCells>
  <conditionalFormatting sqref="B184:D1048478">
    <cfRule type="expression" dxfId="96" priority="9">
      <formula>IF($B$15:$D299, "0")</formula>
    </cfRule>
  </conditionalFormatting>
  <conditionalFormatting sqref="B126:C183">
    <cfRule type="expression" dxfId="95" priority="10">
      <formula>IF($B$15:$D249, "0")</formula>
    </cfRule>
  </conditionalFormatting>
  <conditionalFormatting sqref="B5 B1:D4">
    <cfRule type="expression" dxfId="94" priority="11">
      <formula>IF($B$15:$D133, "0")</formula>
    </cfRule>
  </conditionalFormatting>
  <conditionalFormatting sqref="B6:D6">
    <cfRule type="expression" dxfId="93" priority="12">
      <formula>IF($B$15:$D137, "0")</formula>
    </cfRule>
  </conditionalFormatting>
  <conditionalFormatting sqref="B1048561:D1048576">
    <cfRule type="expression" dxfId="92" priority="13">
      <formula>IF($B$1:$D89, "0")</formula>
    </cfRule>
  </conditionalFormatting>
  <conditionalFormatting sqref="B125:D125">
    <cfRule type="expression" dxfId="91" priority="14">
      <formula>IF($B$15:$D186, "0")</formula>
    </cfRule>
  </conditionalFormatting>
  <conditionalFormatting sqref="B124:D124">
    <cfRule type="expression" dxfId="90" priority="15">
      <formula>IF($B$15:$D179, "0")</formula>
    </cfRule>
  </conditionalFormatting>
  <conditionalFormatting sqref="B1048479:D1048560">
    <cfRule type="expression" dxfId="89" priority="16">
      <formula>IF($B$1:$D15, "0")</formula>
    </cfRule>
  </conditionalFormatting>
  <conditionalFormatting sqref="D5">
    <cfRule type="expression" dxfId="88" priority="8">
      <formula>IF($B$7:$D126, "0")</formula>
    </cfRule>
  </conditionalFormatting>
  <conditionalFormatting sqref="B64:D122">
    <cfRule type="expression" dxfId="87" priority="17">
      <formula>IF($B$15:$D186, "0")</formula>
    </cfRule>
  </conditionalFormatting>
  <conditionalFormatting sqref="B13:D63">
    <cfRule type="expression" dxfId="86" priority="18">
      <formula>IF($B$15:$D137, "0")</formula>
    </cfRule>
  </conditionalFormatting>
  <conditionalFormatting sqref="C5">
    <cfRule type="expression" dxfId="85" priority="19">
      <formula>IF($B$15:$D123, "0")</formula>
    </cfRule>
  </conditionalFormatting>
  <conditionalFormatting sqref="B7:D12">
    <cfRule type="expression" dxfId="84" priority="20">
      <formula>IF($B$15:$D244, "0")</formula>
    </cfRule>
  </conditionalFormatting>
  <conditionalFormatting sqref="F203:G203">
    <cfRule type="expression" dxfId="83" priority="6">
      <formula>IF($B$15:$D318, "0")</formula>
    </cfRule>
  </conditionalFormatting>
  <conditionalFormatting sqref="E203:F214">
    <cfRule type="expression" dxfId="82" priority="5">
      <formula>IF($B$15:$D318, "0")</formula>
    </cfRule>
  </conditionalFormatting>
  <conditionalFormatting sqref="I203:J203">
    <cfRule type="expression" dxfId="81" priority="4">
      <formula>IF($B$15:$D318, "0")</formula>
    </cfRule>
  </conditionalFormatting>
  <conditionalFormatting sqref="I203:I213">
    <cfRule type="expression" dxfId="80" priority="3">
      <formula>IF($B$15:$D318, "0")</formula>
    </cfRule>
  </conditionalFormatting>
  <conditionalFormatting sqref="D126:D183">
    <cfRule type="expression" dxfId="79" priority="1">
      <formula>IF($B$15:$D248, "0")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0000"/>
  </sheetPr>
  <dimension ref="A1:AM176"/>
  <sheetViews>
    <sheetView zoomScaleNormal="100" workbookViewId="0">
      <pane xSplit="8" topLeftCell="K1" activePane="topRight" state="frozen"/>
      <selection activeCell="Z34" sqref="Z34"/>
      <selection pane="topRight" activeCell="G11" sqref="G11"/>
    </sheetView>
  </sheetViews>
  <sheetFormatPr defaultRowHeight="14.6" x14ac:dyDescent="0.4"/>
  <cols>
    <col min="1" max="1" width="4" customWidth="1"/>
    <col min="2" max="2" width="15.69140625" style="3" customWidth="1"/>
    <col min="3" max="3" width="12.69140625" style="3" customWidth="1"/>
    <col min="4" max="4" width="2.53515625" style="20" customWidth="1"/>
    <col min="5" max="5" width="6.69140625" customWidth="1"/>
    <col min="6" max="6" width="2.69140625" style="3" hidden="1" customWidth="1"/>
    <col min="7" max="7" width="37.53515625" bestFit="1" customWidth="1"/>
    <col min="8" max="8" width="2.53515625" customWidth="1"/>
    <col min="9" max="10" width="2.69140625" style="19" hidden="1" customWidth="1"/>
    <col min="11" max="12" width="11.69140625" customWidth="1"/>
    <col min="13" max="13" width="11.69140625" hidden="1" customWidth="1"/>
    <col min="14" max="14" width="11.69140625" customWidth="1"/>
    <col min="15" max="15" width="7.69140625" customWidth="1"/>
    <col min="16" max="16" width="4.69140625" customWidth="1"/>
    <col min="17" max="19" width="11.69140625" customWidth="1"/>
    <col min="20" max="20" width="5.69140625" customWidth="1"/>
    <col min="21" max="21" width="3.69140625" customWidth="1"/>
    <col min="25" max="25" width="9.15234375" customWidth="1"/>
    <col min="31" max="31" width="3.69140625" customWidth="1"/>
    <col min="32" max="32" width="2.53515625" customWidth="1"/>
  </cols>
  <sheetData>
    <row r="1" spans="1:39" s="3" customFormat="1" ht="10" customHeight="1" thickBot="1" x14ac:dyDescent="0.45">
      <c r="D1" s="19"/>
      <c r="I1" s="19"/>
      <c r="J1" s="19"/>
    </row>
    <row r="2" spans="1:39" s="3" customFormat="1" ht="10" customHeight="1" thickBot="1" x14ac:dyDescent="0.45">
      <c r="B2" s="91"/>
      <c r="C2" s="92"/>
      <c r="D2" s="105"/>
      <c r="E2" s="92"/>
      <c r="F2" s="92"/>
      <c r="G2" s="92"/>
      <c r="H2" s="92"/>
      <c r="I2" s="105"/>
      <c r="J2" s="105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6"/>
    </row>
    <row r="3" spans="1:39" s="53" customFormat="1" ht="30" customHeight="1" thickBot="1" x14ac:dyDescent="0.45">
      <c r="A3" s="52"/>
      <c r="B3" s="238" t="s">
        <v>202</v>
      </c>
      <c r="C3" s="239"/>
      <c r="D3" s="137">
        <v>1</v>
      </c>
      <c r="E3" s="240" t="s">
        <v>201</v>
      </c>
      <c r="F3" s="241"/>
      <c r="G3" s="242"/>
      <c r="H3" s="108"/>
      <c r="I3" s="109"/>
      <c r="J3" s="109"/>
      <c r="K3" s="243" t="s">
        <v>203</v>
      </c>
      <c r="L3" s="244"/>
      <c r="M3" s="126"/>
      <c r="N3" s="127" t="s">
        <v>192</v>
      </c>
      <c r="O3" s="106"/>
      <c r="P3" s="245" t="s">
        <v>204</v>
      </c>
      <c r="Q3" s="246"/>
      <c r="R3" s="246"/>
      <c r="S3" s="128">
        <v>1</v>
      </c>
      <c r="T3" s="99"/>
      <c r="U3" s="99"/>
      <c r="V3" s="247" t="s">
        <v>205</v>
      </c>
      <c r="W3" s="248"/>
      <c r="X3" s="248"/>
      <c r="Y3" s="248"/>
      <c r="Z3" s="248"/>
      <c r="AA3" s="248"/>
      <c r="AB3" s="248"/>
      <c r="AC3" s="248"/>
      <c r="AD3" s="249"/>
      <c r="AE3" s="97"/>
      <c r="AF3" s="3"/>
      <c r="AG3" s="52"/>
      <c r="AH3" s="52"/>
      <c r="AI3" s="52"/>
      <c r="AJ3" s="52"/>
      <c r="AK3" s="52"/>
      <c r="AL3" s="52"/>
      <c r="AM3" s="52"/>
    </row>
    <row r="4" spans="1:39" ht="10" customHeight="1" thickBot="1" x14ac:dyDescent="0.45">
      <c r="A4" s="3"/>
      <c r="B4" s="93"/>
      <c r="C4" s="94"/>
      <c r="D4" s="106"/>
      <c r="E4" s="94"/>
      <c r="F4" s="94"/>
      <c r="G4" s="94"/>
      <c r="H4" s="94"/>
      <c r="I4" s="106"/>
      <c r="J4" s="106"/>
      <c r="K4" s="94"/>
      <c r="L4" s="94"/>
      <c r="M4" s="94"/>
      <c r="N4" s="106"/>
      <c r="O4" s="106"/>
      <c r="P4" s="94"/>
      <c r="Q4" s="94"/>
      <c r="R4" s="94"/>
      <c r="S4" s="95"/>
      <c r="T4" s="107"/>
      <c r="U4" s="94"/>
      <c r="V4" s="94"/>
      <c r="W4" s="94"/>
      <c r="X4" s="94"/>
      <c r="Y4" s="94"/>
      <c r="Z4" s="94"/>
      <c r="AA4" s="94"/>
      <c r="AB4" s="94"/>
      <c r="AC4" s="94"/>
      <c r="AD4" s="94"/>
      <c r="AE4" s="98"/>
      <c r="AF4" s="3"/>
      <c r="AG4" s="3"/>
      <c r="AH4" s="3"/>
      <c r="AI4" s="3"/>
      <c r="AJ4" s="3"/>
      <c r="AK4" s="3"/>
      <c r="AM4" s="3"/>
    </row>
    <row r="5" spans="1:39" ht="33" customHeight="1" thickBot="1" x14ac:dyDescent="0.45">
      <c r="A5" s="3"/>
      <c r="B5" s="184" t="s">
        <v>53</v>
      </c>
      <c r="C5" s="177" t="s">
        <v>191</v>
      </c>
      <c r="D5" s="178"/>
      <c r="E5" s="179" t="s">
        <v>61</v>
      </c>
      <c r="F5" s="180"/>
      <c r="G5" s="179" t="s">
        <v>0</v>
      </c>
      <c r="H5" s="178"/>
      <c r="I5" s="231" t="s">
        <v>162</v>
      </c>
      <c r="J5" s="232"/>
      <c r="K5" s="181" t="s">
        <v>198</v>
      </c>
      <c r="L5" s="177" t="s">
        <v>195</v>
      </c>
      <c r="M5" s="181" t="s">
        <v>1</v>
      </c>
      <c r="N5" s="181" t="s">
        <v>2</v>
      </c>
      <c r="O5" s="233" t="s">
        <v>200</v>
      </c>
      <c r="P5" s="234"/>
      <c r="Q5" s="181" t="s">
        <v>199</v>
      </c>
      <c r="R5" s="177" t="s">
        <v>156</v>
      </c>
      <c r="S5" s="185" t="s">
        <v>54</v>
      </c>
      <c r="T5" s="3"/>
      <c r="U5" s="235" t="s">
        <v>161</v>
      </c>
      <c r="V5" s="236"/>
      <c r="W5" s="236"/>
      <c r="X5" s="236"/>
      <c r="Y5" s="236"/>
      <c r="Z5" s="236"/>
      <c r="AA5" s="236"/>
      <c r="AB5" s="236"/>
      <c r="AC5" s="236"/>
      <c r="AD5" s="236"/>
      <c r="AE5" s="237"/>
      <c r="AF5" s="3"/>
      <c r="AG5" s="3"/>
      <c r="AH5" s="3"/>
      <c r="AI5" s="3"/>
      <c r="AJ5" s="3"/>
      <c r="AK5" s="3"/>
      <c r="AL5" s="3"/>
      <c r="AM5" s="3"/>
    </row>
    <row r="6" spans="1:39" s="53" customFormat="1" ht="3" customHeight="1" thickBot="1" x14ac:dyDescent="0.45">
      <c r="A6" s="52"/>
      <c r="B6" s="129"/>
      <c r="C6" s="141"/>
      <c r="D6" s="135"/>
      <c r="E6" s="130"/>
      <c r="F6" s="136"/>
      <c r="G6" s="130"/>
      <c r="H6" s="135"/>
      <c r="I6" s="131"/>
      <c r="J6" s="132"/>
      <c r="K6" s="258"/>
      <c r="L6" s="258"/>
      <c r="M6" s="258"/>
      <c r="N6" s="258"/>
      <c r="O6" s="259"/>
      <c r="P6" s="259"/>
      <c r="Q6" s="258"/>
      <c r="R6" s="258"/>
      <c r="S6" s="260"/>
      <c r="T6" s="3"/>
      <c r="U6" s="261"/>
      <c r="V6" s="262"/>
      <c r="W6" s="262"/>
      <c r="X6" s="262"/>
      <c r="Y6" s="262"/>
      <c r="Z6" s="262"/>
      <c r="AA6" s="262"/>
      <c r="AB6" s="262"/>
      <c r="AC6" s="262"/>
      <c r="AD6" s="262"/>
      <c r="AE6" s="263"/>
      <c r="AF6" s="52"/>
      <c r="AG6" s="52"/>
      <c r="AH6" s="52"/>
      <c r="AI6" s="52"/>
      <c r="AJ6" s="52"/>
      <c r="AK6" s="52"/>
      <c r="AL6" s="52"/>
      <c r="AM6" s="52"/>
    </row>
    <row r="7" spans="1:39" ht="15" customHeight="1" x14ac:dyDescent="0.4">
      <c r="A7" s="3"/>
      <c r="B7" s="138" t="str">
        <f>VLOOKUP($G7,'Product List'!$B:$H,2,0)</f>
        <v>ASA790-161-300</v>
      </c>
      <c r="C7" s="142" t="str">
        <f>HYPERLINK(VLOOKUP($G7,'Product List'!$B:$H,3,0),"VIEW")</f>
        <v>VIEW</v>
      </c>
      <c r="D7" s="193" t="str">
        <f>VLOOKUP($G7,'Product List'!$B:$H,4,0)</f>
        <v>RPKE-000-022</v>
      </c>
      <c r="E7" s="90">
        <v>1</v>
      </c>
      <c r="F7" s="23">
        <v>1</v>
      </c>
      <c r="G7" s="100" t="s">
        <v>63</v>
      </c>
      <c r="H7" s="133"/>
      <c r="I7" s="19">
        <f>COUNTIF(G$7:G$16,G7)</f>
        <v>2</v>
      </c>
      <c r="J7" s="5">
        <f>MATCH(G7,G$7:G$16,0)</f>
        <v>1</v>
      </c>
      <c r="K7" s="101">
        <f>IF($N$3="GBP",VLOOKUP(G7,'Product List'!B:N,10,FALSE),IF($N$3="EUR",VLOOKUP(G7,'Product List'!B:N,11,FALSE),IF($N$3="USD",VLOOKUP(G7,'Product List'!B:N,12,FALSE))))</f>
        <v>5.05</v>
      </c>
      <c r="L7" s="102">
        <f>SUM(K7*(1-S3))</f>
        <v>0</v>
      </c>
      <c r="M7" s="103">
        <f>VLOOKUP($G7,'Product List'!$B:$H,6,0)</f>
        <v>6</v>
      </c>
      <c r="N7" s="152">
        <f>VLOOKUP($G7,'Product List'!$B:$H,7,0)</f>
        <v>10</v>
      </c>
      <c r="O7" s="172">
        <f t="shared" ref="O7:O53" si="0">IF(J7=F7,ROUNDUP(SUM(I7*M7)/N7,0),0)</f>
        <v>2</v>
      </c>
      <c r="P7" s="159"/>
      <c r="Q7" s="165">
        <f t="shared" ref="Q7:Q53" si="1">IFERROR(L7*(N7*O7),0)</f>
        <v>0</v>
      </c>
      <c r="R7" s="104">
        <f>IFERROR(K7*(N7*O7),0)</f>
        <v>101</v>
      </c>
      <c r="S7" s="110">
        <f>IFERROR((R7-Q7)/R7,0)</f>
        <v>1</v>
      </c>
      <c r="T7" s="3"/>
      <c r="U7" s="264"/>
      <c r="V7" s="265"/>
      <c r="W7" s="265"/>
      <c r="X7" s="265"/>
      <c r="Y7" s="265"/>
      <c r="Z7" s="265"/>
      <c r="AA7" s="265"/>
      <c r="AB7" s="265"/>
      <c r="AC7" s="265"/>
      <c r="AD7" s="265"/>
      <c r="AE7" s="266"/>
      <c r="AF7" s="3"/>
      <c r="AG7" s="3"/>
      <c r="AH7" s="3"/>
      <c r="AI7" s="3"/>
      <c r="AJ7" s="3"/>
      <c r="AK7" s="3"/>
      <c r="AL7" s="3"/>
      <c r="AM7" s="3"/>
    </row>
    <row r="8" spans="1:39" ht="15" customHeight="1" x14ac:dyDescent="0.4">
      <c r="A8" s="3"/>
      <c r="B8" s="139" t="str">
        <f>VLOOKUP($G8,'Product List'!$B:$H,2,0)</f>
        <v>ASA790-161-200</v>
      </c>
      <c r="C8" s="143" t="str">
        <f>HYPERLINK(VLOOKUP($G8,'Product List'!$B:$H,3,0),"VIEW")</f>
        <v>VIEW</v>
      </c>
      <c r="D8" s="193" t="str">
        <f>VLOOKUP($G8,'Product List'!$B:$H,4,0)</f>
        <v>RPKE-000-023</v>
      </c>
      <c r="E8" s="14">
        <v>2</v>
      </c>
      <c r="F8" s="23">
        <v>2</v>
      </c>
      <c r="G8" s="54" t="s">
        <v>64</v>
      </c>
      <c r="H8" s="133"/>
      <c r="I8" s="19">
        <f t="shared" ref="I8:I16" si="2">COUNTIF(G$7:G$16,G8)</f>
        <v>2</v>
      </c>
      <c r="J8" s="5">
        <f t="shared" ref="J8:J16" si="3">MATCH(G8,G$7:G$16,0)</f>
        <v>2</v>
      </c>
      <c r="K8" s="65">
        <f>IF($N$3="GBP",VLOOKUP(G8,'Product List'!B:N,10,FALSE),IF($N$3="EUR",VLOOKUP(G8,'Product List'!B:N,11,FALSE),IF($N$3="USD",VLOOKUP(G8,'Product List'!B:N,12,FALSE))))</f>
        <v>5.05</v>
      </c>
      <c r="L8" s="64">
        <f>SUM(K8*(1-S3))</f>
        <v>0</v>
      </c>
      <c r="M8" s="38">
        <f>VLOOKUP($G8,'Product List'!$B:$H,6,0)</f>
        <v>6</v>
      </c>
      <c r="N8" s="153">
        <f>VLOOKUP($G8,'Product List'!$B:$H,7,0)</f>
        <v>10</v>
      </c>
      <c r="O8" s="172">
        <f t="shared" si="0"/>
        <v>2</v>
      </c>
      <c r="P8" s="159"/>
      <c r="Q8" s="166">
        <f t="shared" si="1"/>
        <v>0</v>
      </c>
      <c r="R8" s="104">
        <f t="shared" ref="R8:R53" si="4">IFERROR(K8*(N8*O8),0)</f>
        <v>101</v>
      </c>
      <c r="S8" s="111">
        <f t="shared" ref="S8:S20" si="5">IFERROR((R8-Q8)/R8,0)</f>
        <v>1</v>
      </c>
      <c r="T8" s="3"/>
      <c r="U8" s="267"/>
      <c r="V8" s="268"/>
      <c r="W8" s="268"/>
      <c r="X8" s="268"/>
      <c r="Y8" s="268"/>
      <c r="Z8" s="268"/>
      <c r="AA8" s="268"/>
      <c r="AB8" s="268"/>
      <c r="AC8" s="268"/>
      <c r="AD8" s="268"/>
      <c r="AE8" s="269"/>
      <c r="AF8" s="3"/>
      <c r="AG8" s="3"/>
      <c r="AH8" s="3"/>
      <c r="AI8" s="3"/>
      <c r="AJ8" s="3"/>
      <c r="AK8" s="3"/>
      <c r="AL8" s="3"/>
      <c r="AM8" s="3"/>
    </row>
    <row r="9" spans="1:39" ht="15" customHeight="1" x14ac:dyDescent="0.4">
      <c r="A9" s="3"/>
      <c r="B9" s="139" t="str">
        <f>VLOOKUP($G9,'Product List'!$B:$H,2,0)</f>
        <v>ASA790-166-400</v>
      </c>
      <c r="C9" s="143" t="str">
        <f>HYPERLINK(VLOOKUP($G9,'Product List'!$B:$H,3,0),"VIEW")</f>
        <v>VIEW</v>
      </c>
      <c r="D9" s="193" t="str">
        <f>VLOOKUP($G9,'Product List'!$B:$H,4,0)</f>
        <v>RPKE-000-024</v>
      </c>
      <c r="E9" s="14">
        <v>3</v>
      </c>
      <c r="F9" s="23">
        <v>3</v>
      </c>
      <c r="G9" s="54" t="s">
        <v>65</v>
      </c>
      <c r="H9" s="133"/>
      <c r="I9" s="19">
        <f t="shared" si="2"/>
        <v>2</v>
      </c>
      <c r="J9" s="5">
        <f t="shared" si="3"/>
        <v>3</v>
      </c>
      <c r="K9" s="65">
        <f>IF($N$3="GBP",VLOOKUP(G9,'Product List'!B:N,10,FALSE),IF($N$3="EUR",VLOOKUP(G9,'Product List'!B:N,11,FALSE),IF($N$3="USD",VLOOKUP(G9,'Product List'!B:N,12,FALSE))))</f>
        <v>5.05</v>
      </c>
      <c r="L9" s="64">
        <f>SUM(K9*(1-S3))</f>
        <v>0</v>
      </c>
      <c r="M9" s="38">
        <f>VLOOKUP($G9,'Product List'!$B:$H,6,0)</f>
        <v>6</v>
      </c>
      <c r="N9" s="153">
        <f>VLOOKUP($G9,'Product List'!$B:$H,7,0)</f>
        <v>10</v>
      </c>
      <c r="O9" s="172">
        <f t="shared" si="0"/>
        <v>2</v>
      </c>
      <c r="P9" s="159"/>
      <c r="Q9" s="166">
        <f t="shared" si="1"/>
        <v>0</v>
      </c>
      <c r="R9" s="104">
        <f t="shared" si="4"/>
        <v>101</v>
      </c>
      <c r="S9" s="111">
        <f t="shared" si="5"/>
        <v>1</v>
      </c>
      <c r="T9" s="3"/>
      <c r="U9" s="267"/>
      <c r="V9" s="268"/>
      <c r="W9" s="268"/>
      <c r="X9" s="268"/>
      <c r="Y9" s="268"/>
      <c r="Z9" s="268"/>
      <c r="AA9" s="268"/>
      <c r="AB9" s="268"/>
      <c r="AC9" s="268"/>
      <c r="AD9" s="268"/>
      <c r="AE9" s="269"/>
      <c r="AF9" s="3"/>
      <c r="AG9" s="3"/>
      <c r="AH9" s="3"/>
      <c r="AI9" s="3"/>
      <c r="AJ9" s="3"/>
      <c r="AK9" s="3"/>
      <c r="AL9" s="3"/>
      <c r="AM9" s="3"/>
    </row>
    <row r="10" spans="1:39" ht="15" customHeight="1" x14ac:dyDescent="0.4">
      <c r="A10" s="3"/>
      <c r="B10" s="139" t="str">
        <f>VLOOKUP($G10,'Product List'!$B:$H,2,0)</f>
        <v>ASA920-161-300</v>
      </c>
      <c r="C10" s="143" t="str">
        <f>HYPERLINK(VLOOKUP($G10,'Product List'!$B:$H,3,0),"VIEW")</f>
        <v>VIEW</v>
      </c>
      <c r="D10" s="193" t="str">
        <f>VLOOKUP($G10,'Product List'!$B:$H,4,0)</f>
        <v>RPKE-000-026</v>
      </c>
      <c r="E10" s="14">
        <v>4</v>
      </c>
      <c r="F10" s="23">
        <v>4</v>
      </c>
      <c r="G10" s="54" t="s">
        <v>76</v>
      </c>
      <c r="H10" s="133"/>
      <c r="I10" s="19">
        <f t="shared" si="2"/>
        <v>1</v>
      </c>
      <c r="J10" s="5">
        <f t="shared" si="3"/>
        <v>4</v>
      </c>
      <c r="K10" s="65">
        <f>IF($N$3="GBP",VLOOKUP(G10,'Product List'!B:N,10,FALSE),IF($N$3="EUR",VLOOKUP(G10,'Product List'!B:N,11,FALSE),IF($N$3="USD",VLOOKUP(G10,'Product List'!B:N,12,FALSE))))</f>
        <v>3.13</v>
      </c>
      <c r="L10" s="64">
        <f>SUM(K10*(1-S3))</f>
        <v>0</v>
      </c>
      <c r="M10" s="38">
        <f>VLOOKUP($G10,'Product List'!$B:$H,6,0)</f>
        <v>6</v>
      </c>
      <c r="N10" s="153">
        <f>VLOOKUP($G10,'Product List'!$B:$H,7,0)</f>
        <v>10</v>
      </c>
      <c r="O10" s="172">
        <f t="shared" si="0"/>
        <v>1</v>
      </c>
      <c r="P10" s="159"/>
      <c r="Q10" s="166">
        <f t="shared" si="1"/>
        <v>0</v>
      </c>
      <c r="R10" s="104">
        <f t="shared" si="4"/>
        <v>31.299999999999997</v>
      </c>
      <c r="S10" s="111">
        <f t="shared" si="5"/>
        <v>1</v>
      </c>
      <c r="T10" s="3"/>
      <c r="U10" s="267"/>
      <c r="V10" s="268"/>
      <c r="W10" s="268"/>
      <c r="X10" s="268"/>
      <c r="Y10" s="268"/>
      <c r="Z10" s="268"/>
      <c r="AA10" s="268"/>
      <c r="AB10" s="268"/>
      <c r="AC10" s="268"/>
      <c r="AD10" s="268"/>
      <c r="AE10" s="269"/>
      <c r="AF10" s="3"/>
      <c r="AG10" s="3"/>
      <c r="AH10" s="3"/>
      <c r="AI10" s="3"/>
      <c r="AJ10" s="3"/>
      <c r="AK10" s="3"/>
      <c r="AL10" s="3"/>
      <c r="AM10" s="3"/>
    </row>
    <row r="11" spans="1:39" ht="15" customHeight="1" x14ac:dyDescent="0.4">
      <c r="A11" s="3"/>
      <c r="B11" s="139" t="str">
        <f>VLOOKUP($G11,'Product List'!$B:$H,2,0)</f>
        <v>ASA920-161-200</v>
      </c>
      <c r="C11" s="143" t="str">
        <f>HYPERLINK(VLOOKUP($G11,'Product List'!$B:$H,3,0),"VIEW")</f>
        <v>VIEW</v>
      </c>
      <c r="D11" s="193" t="str">
        <f>VLOOKUP($G11,'Product List'!$B:$H,4,0)</f>
        <v>RPKE-000-027</v>
      </c>
      <c r="E11" s="14">
        <v>5</v>
      </c>
      <c r="F11" s="23">
        <v>5</v>
      </c>
      <c r="G11" s="54" t="s">
        <v>75</v>
      </c>
      <c r="H11" s="133"/>
      <c r="I11" s="19">
        <f t="shared" si="2"/>
        <v>1</v>
      </c>
      <c r="J11" s="5">
        <f t="shared" si="3"/>
        <v>5</v>
      </c>
      <c r="K11" s="65">
        <f>IF($N$3="GBP",VLOOKUP(G11,'Product List'!B:N,10,FALSE),IF($N$3="EUR",VLOOKUP(G11,'Product List'!B:N,11,FALSE),IF($N$3="USD",VLOOKUP(G11,'Product List'!B:N,12,FALSE))))</f>
        <v>3.13</v>
      </c>
      <c r="L11" s="64">
        <f>SUM(K11*(1-S3))</f>
        <v>0</v>
      </c>
      <c r="M11" s="38">
        <f>VLOOKUP($G11,'Product List'!$B:$H,6,0)</f>
        <v>6</v>
      </c>
      <c r="N11" s="153">
        <f>VLOOKUP($G11,'Product List'!$B:$H,7,0)</f>
        <v>10</v>
      </c>
      <c r="O11" s="172">
        <f t="shared" si="0"/>
        <v>1</v>
      </c>
      <c r="P11" s="159"/>
      <c r="Q11" s="166">
        <f t="shared" si="1"/>
        <v>0</v>
      </c>
      <c r="R11" s="104">
        <f t="shared" si="4"/>
        <v>31.299999999999997</v>
      </c>
      <c r="S11" s="111">
        <f t="shared" si="5"/>
        <v>1</v>
      </c>
      <c r="T11" s="3"/>
      <c r="U11" s="267"/>
      <c r="V11" s="268"/>
      <c r="W11" s="268"/>
      <c r="X11" s="268"/>
      <c r="Y11" s="268"/>
      <c r="Z11" s="268"/>
      <c r="AA11" s="268"/>
      <c r="AB11" s="268"/>
      <c r="AC11" s="268"/>
      <c r="AD11" s="268"/>
      <c r="AE11" s="269"/>
      <c r="AF11" s="3"/>
      <c r="AG11" s="3"/>
      <c r="AH11" s="3"/>
      <c r="AI11" s="3"/>
      <c r="AJ11" s="3"/>
      <c r="AK11" s="3"/>
      <c r="AL11" s="3"/>
      <c r="AM11" s="3"/>
    </row>
    <row r="12" spans="1:39" ht="15" customHeight="1" x14ac:dyDescent="0.4">
      <c r="A12" s="3"/>
      <c r="B12" s="139" t="str">
        <f>VLOOKUP($G12,'Product List'!$B:$H,2,0)</f>
        <v>ASA920-163-000</v>
      </c>
      <c r="C12" s="143" t="str">
        <f>HYPERLINK(VLOOKUP($G12,'Product List'!$B:$H,3,0),"VIEW")</f>
        <v>VIEW</v>
      </c>
      <c r="D12" s="193" t="str">
        <f>VLOOKUP($G12,'Product List'!$B:$H,4,0)</f>
        <v>RPKE-000-028</v>
      </c>
      <c r="E12" s="14">
        <v>6</v>
      </c>
      <c r="F12" s="23">
        <v>6</v>
      </c>
      <c r="G12" s="54" t="s">
        <v>77</v>
      </c>
      <c r="H12" s="133"/>
      <c r="I12" s="19">
        <f t="shared" si="2"/>
        <v>1</v>
      </c>
      <c r="J12" s="5">
        <f t="shared" si="3"/>
        <v>6</v>
      </c>
      <c r="K12" s="65">
        <f>IF($N$3="GBP",VLOOKUP(G12,'Product List'!B:N,10,FALSE),IF($N$3="EUR",VLOOKUP(G12,'Product List'!B:N,11,FALSE),IF($N$3="USD",VLOOKUP(G12,'Product List'!B:N,12,FALSE))))</f>
        <v>3.13</v>
      </c>
      <c r="L12" s="64">
        <f>SUM(K12*(1-S3))</f>
        <v>0</v>
      </c>
      <c r="M12" s="38">
        <f>VLOOKUP($G12,'Product List'!$B:$H,6,0)</f>
        <v>6</v>
      </c>
      <c r="N12" s="153">
        <f>VLOOKUP($G12,'Product List'!$B:$H,7,0)</f>
        <v>10</v>
      </c>
      <c r="O12" s="172">
        <f t="shared" si="0"/>
        <v>1</v>
      </c>
      <c r="P12" s="159"/>
      <c r="Q12" s="166">
        <f t="shared" si="1"/>
        <v>0</v>
      </c>
      <c r="R12" s="104">
        <f t="shared" si="4"/>
        <v>31.299999999999997</v>
      </c>
      <c r="S12" s="111">
        <f t="shared" si="5"/>
        <v>1</v>
      </c>
      <c r="T12" s="3"/>
      <c r="U12" s="267"/>
      <c r="V12" s="268"/>
      <c r="W12" s="268"/>
      <c r="X12" s="268"/>
      <c r="Y12" s="268"/>
      <c r="Z12" s="268"/>
      <c r="AA12" s="268"/>
      <c r="AB12" s="268"/>
      <c r="AC12" s="268"/>
      <c r="AD12" s="268"/>
      <c r="AE12" s="269"/>
      <c r="AF12" s="3"/>
      <c r="AG12" s="3"/>
      <c r="AH12" s="3"/>
      <c r="AI12" s="3"/>
      <c r="AJ12" s="3"/>
      <c r="AK12" s="3"/>
      <c r="AL12" s="3"/>
      <c r="AM12" s="3"/>
    </row>
    <row r="13" spans="1:39" ht="15" customHeight="1" x14ac:dyDescent="0.4">
      <c r="A13" s="3"/>
      <c r="B13" s="139" t="str">
        <f>VLOOKUP($G13,'Product List'!$B:$H,2,0)</f>
        <v>ASA790-161-300</v>
      </c>
      <c r="C13" s="143" t="str">
        <f>HYPERLINK(VLOOKUP($G13,'Product List'!$B:$H,3,0),"VIEW")</f>
        <v>VIEW</v>
      </c>
      <c r="D13" s="193" t="str">
        <f>VLOOKUP($G13,'Product List'!$B:$H,4,0)</f>
        <v>RPKE-000-022</v>
      </c>
      <c r="E13" s="14">
        <v>7</v>
      </c>
      <c r="F13" s="23">
        <v>7</v>
      </c>
      <c r="G13" s="54" t="s">
        <v>63</v>
      </c>
      <c r="H13" s="133"/>
      <c r="I13" s="19">
        <f t="shared" si="2"/>
        <v>2</v>
      </c>
      <c r="J13" s="5">
        <f t="shared" si="3"/>
        <v>1</v>
      </c>
      <c r="K13" s="65">
        <f>IF($N$3="GBP",VLOOKUP(G13,'Product List'!B:N,10,FALSE),IF($N$3="EUR",VLOOKUP(G13,'Product List'!B:N,11,FALSE),IF($N$3="USD",VLOOKUP(G13,'Product List'!B:N,12,FALSE))))</f>
        <v>5.05</v>
      </c>
      <c r="L13" s="64">
        <f>SUM(K13*(1-S3))</f>
        <v>0</v>
      </c>
      <c r="M13" s="38">
        <f>VLOOKUP($G13,'Product List'!$B:$H,6,0)</f>
        <v>6</v>
      </c>
      <c r="N13" s="153">
        <f>VLOOKUP($G13,'Product List'!$B:$H,7,0)</f>
        <v>10</v>
      </c>
      <c r="O13" s="172">
        <f t="shared" si="0"/>
        <v>0</v>
      </c>
      <c r="P13" s="159"/>
      <c r="Q13" s="166">
        <f t="shared" si="1"/>
        <v>0</v>
      </c>
      <c r="R13" s="104">
        <f t="shared" si="4"/>
        <v>0</v>
      </c>
      <c r="S13" s="111">
        <f t="shared" si="5"/>
        <v>0</v>
      </c>
      <c r="T13" s="3"/>
      <c r="U13" s="267"/>
      <c r="V13" s="268"/>
      <c r="W13" s="268"/>
      <c r="X13" s="268"/>
      <c r="Y13" s="268"/>
      <c r="Z13" s="268"/>
      <c r="AA13" s="268"/>
      <c r="AB13" s="268"/>
      <c r="AC13" s="268"/>
      <c r="AD13" s="268"/>
      <c r="AE13" s="269"/>
      <c r="AF13" s="3"/>
      <c r="AG13" s="3"/>
      <c r="AH13" s="3"/>
      <c r="AI13" s="3"/>
      <c r="AJ13" s="3"/>
      <c r="AK13" s="3"/>
      <c r="AL13" s="3"/>
      <c r="AM13" s="3"/>
    </row>
    <row r="14" spans="1:39" ht="15" customHeight="1" x14ac:dyDescent="0.4">
      <c r="A14" s="21"/>
      <c r="B14" s="139" t="str">
        <f>VLOOKUP($G14,'Product List'!$B:$H,2,0)</f>
        <v>ASA790-161-200</v>
      </c>
      <c r="C14" s="143" t="str">
        <f>HYPERLINK(VLOOKUP($G14,'Product List'!$B:$H,3,0),"VIEW")</f>
        <v>VIEW</v>
      </c>
      <c r="D14" s="193" t="str">
        <f>VLOOKUP($G14,'Product List'!$B:$H,4,0)</f>
        <v>RPKE-000-023</v>
      </c>
      <c r="E14" s="14">
        <v>8</v>
      </c>
      <c r="F14" s="23">
        <v>8</v>
      </c>
      <c r="G14" s="54" t="s">
        <v>64</v>
      </c>
      <c r="H14" s="133"/>
      <c r="I14" s="19">
        <f t="shared" si="2"/>
        <v>2</v>
      </c>
      <c r="J14" s="5">
        <f t="shared" si="3"/>
        <v>2</v>
      </c>
      <c r="K14" s="65">
        <f>IF($N$3="GBP",VLOOKUP(G14,'Product List'!B:N,10,FALSE),IF($N$3="EUR",VLOOKUP(G14,'Product List'!B:N,11,FALSE),IF($N$3="USD",VLOOKUP(G14,'Product List'!B:N,12,FALSE))))</f>
        <v>5.05</v>
      </c>
      <c r="L14" s="64">
        <f>SUM(K14*(1-S3))</f>
        <v>0</v>
      </c>
      <c r="M14" s="38">
        <f>VLOOKUP($G14,'Product List'!$B:$H,6,0)</f>
        <v>6</v>
      </c>
      <c r="N14" s="153">
        <f>VLOOKUP($G14,'Product List'!$B:$H,7,0)</f>
        <v>10</v>
      </c>
      <c r="O14" s="172">
        <f t="shared" si="0"/>
        <v>0</v>
      </c>
      <c r="P14" s="159"/>
      <c r="Q14" s="166">
        <f t="shared" si="1"/>
        <v>0</v>
      </c>
      <c r="R14" s="104">
        <f t="shared" si="4"/>
        <v>0</v>
      </c>
      <c r="S14" s="111">
        <f t="shared" si="5"/>
        <v>0</v>
      </c>
      <c r="T14" s="3"/>
      <c r="U14" s="267"/>
      <c r="V14" s="268"/>
      <c r="W14" s="268"/>
      <c r="X14" s="268"/>
      <c r="Y14" s="268"/>
      <c r="Z14" s="268"/>
      <c r="AA14" s="268"/>
      <c r="AB14" s="268"/>
      <c r="AC14" s="268"/>
      <c r="AD14" s="268"/>
      <c r="AE14" s="269"/>
      <c r="AF14" s="3"/>
      <c r="AG14" s="3"/>
      <c r="AH14" s="3"/>
      <c r="AI14" s="3"/>
      <c r="AJ14" s="3"/>
      <c r="AK14" s="3"/>
      <c r="AL14" s="3"/>
      <c r="AM14" s="3"/>
    </row>
    <row r="15" spans="1:39" ht="15" customHeight="1" x14ac:dyDescent="0.4">
      <c r="A15" s="3"/>
      <c r="B15" s="139" t="str">
        <f>VLOOKUP($G15,'Product List'!$B:$H,2,0)</f>
        <v>ASA790-162-900</v>
      </c>
      <c r="C15" s="143" t="str">
        <f>HYPERLINK(VLOOKUP($G15,'Product List'!$B:$H,3,0),"VIEW")</f>
        <v>VIEW</v>
      </c>
      <c r="D15" s="193" t="str">
        <f>VLOOKUP($G15,'Product List'!$B:$H,4,0)</f>
        <v>RPKE-000-025</v>
      </c>
      <c r="E15" s="14">
        <v>9</v>
      </c>
      <c r="F15" s="23">
        <v>9</v>
      </c>
      <c r="G15" s="54" t="s">
        <v>66</v>
      </c>
      <c r="H15" s="133"/>
      <c r="I15" s="19">
        <f t="shared" si="2"/>
        <v>1</v>
      </c>
      <c r="J15" s="5">
        <f t="shared" si="3"/>
        <v>9</v>
      </c>
      <c r="K15" s="65">
        <f>IF($N$3="GBP",VLOOKUP(G15,'Product List'!B:N,10,FALSE),IF($N$3="EUR",VLOOKUP(G15,'Product List'!B:N,11,FALSE),IF($N$3="USD",VLOOKUP(G15,'Product List'!B:N,12,FALSE))))</f>
        <v>5.05</v>
      </c>
      <c r="L15" s="64">
        <f>SUM(K15*(1-S3))</f>
        <v>0</v>
      </c>
      <c r="M15" s="38">
        <f>VLOOKUP($G15,'Product List'!$B:$H,6,0)</f>
        <v>6</v>
      </c>
      <c r="N15" s="153">
        <f>VLOOKUP($G15,'Product List'!$B:$H,7,0)</f>
        <v>10</v>
      </c>
      <c r="O15" s="172">
        <f t="shared" si="0"/>
        <v>1</v>
      </c>
      <c r="P15" s="159"/>
      <c r="Q15" s="166">
        <f t="shared" si="1"/>
        <v>0</v>
      </c>
      <c r="R15" s="104">
        <f t="shared" si="4"/>
        <v>50.5</v>
      </c>
      <c r="S15" s="111">
        <f t="shared" si="5"/>
        <v>1</v>
      </c>
      <c r="T15" s="3"/>
      <c r="U15" s="267"/>
      <c r="V15" s="268"/>
      <c r="W15" s="268"/>
      <c r="X15" s="268"/>
      <c r="Y15" s="268"/>
      <c r="Z15" s="268"/>
      <c r="AA15" s="268"/>
      <c r="AB15" s="268"/>
      <c r="AC15" s="268"/>
      <c r="AD15" s="268"/>
      <c r="AE15" s="269"/>
      <c r="AF15" s="3"/>
      <c r="AG15" s="3"/>
      <c r="AH15" s="3"/>
      <c r="AI15" s="3"/>
      <c r="AJ15" s="3"/>
      <c r="AK15" s="3"/>
      <c r="AL15" s="3"/>
      <c r="AM15" s="3"/>
    </row>
    <row r="16" spans="1:39" ht="15" customHeight="1" x14ac:dyDescent="0.4">
      <c r="A16" s="3"/>
      <c r="B16" s="139" t="str">
        <f>VLOOKUP($G16,'Product List'!$B:$H,2,0)</f>
        <v>ASA790-166-400</v>
      </c>
      <c r="C16" s="143" t="str">
        <f>HYPERLINK(VLOOKUP($G16,'Product List'!$B:$H,3,0),"VIEW")</f>
        <v>VIEW</v>
      </c>
      <c r="D16" s="193" t="str">
        <f>VLOOKUP($G16,'Product List'!$B:$H,4,0)</f>
        <v>RPKE-000-024</v>
      </c>
      <c r="E16" s="14">
        <v>10</v>
      </c>
      <c r="F16" s="23">
        <v>10</v>
      </c>
      <c r="G16" s="54" t="s">
        <v>65</v>
      </c>
      <c r="H16" s="133"/>
      <c r="I16" s="19">
        <f t="shared" si="2"/>
        <v>2</v>
      </c>
      <c r="J16" s="5">
        <f t="shared" si="3"/>
        <v>3</v>
      </c>
      <c r="K16" s="65">
        <f>IF($N$3="GBP",VLOOKUP(G16,'Product List'!B:N,10,FALSE),IF($N$3="EUR",VLOOKUP(G16,'Product List'!B:N,11,FALSE),IF($N$3="USD",VLOOKUP(G16,'Product List'!B:N,12,FALSE))))</f>
        <v>5.05</v>
      </c>
      <c r="L16" s="64">
        <f>SUM(K16*(1-S3))</f>
        <v>0</v>
      </c>
      <c r="M16" s="38">
        <f>VLOOKUP($G16,'Product List'!$B:$H,6,0)</f>
        <v>6</v>
      </c>
      <c r="N16" s="153">
        <f>VLOOKUP($G16,'Product List'!$B:$H,7,0)</f>
        <v>10</v>
      </c>
      <c r="O16" s="172">
        <f t="shared" si="0"/>
        <v>0</v>
      </c>
      <c r="P16" s="159"/>
      <c r="Q16" s="166">
        <f t="shared" si="1"/>
        <v>0</v>
      </c>
      <c r="R16" s="104">
        <f t="shared" si="4"/>
        <v>0</v>
      </c>
      <c r="S16" s="111">
        <f t="shared" si="5"/>
        <v>0</v>
      </c>
      <c r="T16" s="3"/>
      <c r="U16" s="267"/>
      <c r="V16" s="268"/>
      <c r="W16" s="268"/>
      <c r="X16" s="268"/>
      <c r="Y16" s="268"/>
      <c r="Z16" s="268"/>
      <c r="AA16" s="268"/>
      <c r="AB16" s="268"/>
      <c r="AC16" s="268"/>
      <c r="AD16" s="268"/>
      <c r="AE16" s="269"/>
      <c r="AF16" s="3"/>
      <c r="AG16" s="3"/>
      <c r="AH16" s="3"/>
      <c r="AI16" s="3"/>
      <c r="AJ16" s="3"/>
      <c r="AK16" s="3"/>
      <c r="AL16" s="3"/>
      <c r="AM16" s="3"/>
    </row>
    <row r="17" spans="1:39" ht="15" customHeight="1" x14ac:dyDescent="0.4">
      <c r="A17" s="3"/>
      <c r="B17" s="139" t="str">
        <f>VLOOKUP($G17,'Product List'!$B:$H,2,0)</f>
        <v>ASA940-061-300</v>
      </c>
      <c r="C17" s="143" t="str">
        <f>HYPERLINK(VLOOKUP($G17,'Product List'!$B:$H,3,0),"VIEW")</f>
        <v>VIEW</v>
      </c>
      <c r="D17" s="193" t="str">
        <f>VLOOKUP($G17,'Product List'!$B:$H,4,0)</f>
        <v>RPKE-000-029</v>
      </c>
      <c r="E17" s="30">
        <v>11</v>
      </c>
      <c r="F17" s="23">
        <v>1</v>
      </c>
      <c r="G17" s="55" t="s">
        <v>78</v>
      </c>
      <c r="H17" s="133"/>
      <c r="I17" s="19">
        <f>COUNTIF(G$17:G$20,G17)</f>
        <v>2</v>
      </c>
      <c r="J17" s="5">
        <f>MATCH(G17,G$17:G$20,0)</f>
        <v>1</v>
      </c>
      <c r="K17" s="65">
        <f>IF($N$3="GBP",VLOOKUP(G17,'Product List'!B:N,10,FALSE),IF($N$3="EUR",VLOOKUP(G17,'Product List'!B:N,11,FALSE),IF($N$3="USD",VLOOKUP(G17,'Product List'!B:N,12,FALSE))))</f>
        <v>6.21</v>
      </c>
      <c r="L17" s="64">
        <f>SUM(K17*(1-S3))</f>
        <v>0</v>
      </c>
      <c r="M17" s="38">
        <f>VLOOKUP($G17,'Product List'!$B:$H,6,0)</f>
        <v>5</v>
      </c>
      <c r="N17" s="153">
        <f>VLOOKUP($G17,'Product List'!$B:$H,7,0)</f>
        <v>10</v>
      </c>
      <c r="O17" s="172">
        <f t="shared" si="0"/>
        <v>1</v>
      </c>
      <c r="P17" s="159"/>
      <c r="Q17" s="166">
        <f t="shared" si="1"/>
        <v>0</v>
      </c>
      <c r="R17" s="104">
        <f t="shared" si="4"/>
        <v>62.1</v>
      </c>
      <c r="S17" s="111">
        <f t="shared" si="5"/>
        <v>1</v>
      </c>
      <c r="T17" s="3"/>
      <c r="U17" s="267"/>
      <c r="V17" s="268"/>
      <c r="W17" s="268"/>
      <c r="X17" s="268"/>
      <c r="Y17" s="268"/>
      <c r="Z17" s="268"/>
      <c r="AA17" s="268"/>
      <c r="AB17" s="268"/>
      <c r="AC17" s="268"/>
      <c r="AD17" s="268"/>
      <c r="AE17" s="269"/>
      <c r="AF17" s="3"/>
      <c r="AG17" s="3"/>
      <c r="AH17" s="3"/>
      <c r="AI17" s="3"/>
      <c r="AJ17" s="3"/>
      <c r="AK17" s="3"/>
      <c r="AL17" s="3"/>
      <c r="AM17" s="3"/>
    </row>
    <row r="18" spans="1:39" ht="15" customHeight="1" x14ac:dyDescent="0.4">
      <c r="A18" s="3"/>
      <c r="B18" s="139" t="str">
        <f>VLOOKUP($G18,'Product List'!$B:$H,2,0)</f>
        <v>ASA940-061-300</v>
      </c>
      <c r="C18" s="143" t="str">
        <f>HYPERLINK(VLOOKUP($G18,'Product List'!$B:$H,3,0),"VIEW")</f>
        <v>VIEW</v>
      </c>
      <c r="D18" s="193" t="str">
        <f>VLOOKUP($G18,'Product List'!$B:$H,4,0)</f>
        <v>RPKE-000-029</v>
      </c>
      <c r="E18" s="30">
        <v>12</v>
      </c>
      <c r="F18" s="23">
        <v>2</v>
      </c>
      <c r="G18" s="55" t="s">
        <v>78</v>
      </c>
      <c r="H18" s="133"/>
      <c r="I18" s="19">
        <f t="shared" ref="I18:I20" si="6">COUNTIF(G$17:G$20,G18)</f>
        <v>2</v>
      </c>
      <c r="J18" s="5">
        <f t="shared" ref="J18:J20" si="7">MATCH(G18,G$17:G$20,0)</f>
        <v>1</v>
      </c>
      <c r="K18" s="65">
        <f>IF($N$3="GBP",VLOOKUP(G18,'Product List'!B:N,10,FALSE),IF($N$3="EUR",VLOOKUP(G18,'Product List'!B:N,11,FALSE),IF($N$3="USD",VLOOKUP(G18,'Product List'!B:N,12,FALSE))))</f>
        <v>6.21</v>
      </c>
      <c r="L18" s="64">
        <f>SUM(K18*(1-S3))</f>
        <v>0</v>
      </c>
      <c r="M18" s="38">
        <f>VLOOKUP($G18,'Product List'!$B:$H,6,0)</f>
        <v>5</v>
      </c>
      <c r="N18" s="153">
        <f>VLOOKUP($G18,'Product List'!$B:$H,7,0)</f>
        <v>10</v>
      </c>
      <c r="O18" s="172">
        <f t="shared" si="0"/>
        <v>0</v>
      </c>
      <c r="P18" s="159"/>
      <c r="Q18" s="166">
        <f t="shared" si="1"/>
        <v>0</v>
      </c>
      <c r="R18" s="104">
        <f t="shared" si="4"/>
        <v>0</v>
      </c>
      <c r="S18" s="111">
        <f t="shared" si="5"/>
        <v>0</v>
      </c>
      <c r="T18" s="3"/>
      <c r="U18" s="267"/>
      <c r="V18" s="268"/>
      <c r="W18" s="268"/>
      <c r="X18" s="268"/>
      <c r="Y18" s="268"/>
      <c r="Z18" s="268"/>
      <c r="AA18" s="268"/>
      <c r="AB18" s="268"/>
      <c r="AC18" s="268"/>
      <c r="AD18" s="268"/>
      <c r="AE18" s="269"/>
      <c r="AF18" s="3"/>
      <c r="AG18" s="3"/>
      <c r="AH18" s="3"/>
      <c r="AI18" s="3"/>
      <c r="AJ18" s="3"/>
      <c r="AK18" s="3"/>
      <c r="AL18" s="3"/>
      <c r="AM18" s="3"/>
    </row>
    <row r="19" spans="1:39" ht="15" customHeight="1" x14ac:dyDescent="0.4">
      <c r="A19" s="3"/>
      <c r="B19" s="139" t="str">
        <f>VLOOKUP($G19,'Product List'!$B:$H,2,0)</f>
        <v>AGM020-623-000</v>
      </c>
      <c r="C19" s="143" t="str">
        <f>HYPERLINK(VLOOKUP($G19,'Product List'!$B:$H,3,0),"VIEW")</f>
        <v>VIEW</v>
      </c>
      <c r="D19" s="193" t="str">
        <f>VLOOKUP($G19,'Product List'!$B:$H,4,0)</f>
        <v>RPKE-000-031</v>
      </c>
      <c r="E19" s="30">
        <v>13</v>
      </c>
      <c r="F19" s="23">
        <v>3</v>
      </c>
      <c r="G19" s="55" t="s">
        <v>6</v>
      </c>
      <c r="H19" s="133"/>
      <c r="I19" s="19">
        <f t="shared" si="6"/>
        <v>2</v>
      </c>
      <c r="J19" s="5">
        <f t="shared" si="7"/>
        <v>3</v>
      </c>
      <c r="K19" s="65">
        <f>IF($N$3="GBP",VLOOKUP(G19,'Product List'!B:N,10,FALSE),IF($N$3="EUR",VLOOKUP(G19,'Product List'!B:N,11,FALSE),IF($N$3="USD",VLOOKUP(G19,'Product List'!B:N,12,FALSE))))</f>
        <v>12.94</v>
      </c>
      <c r="L19" s="64">
        <f>SUM(K19*(1-S3))</f>
        <v>0</v>
      </c>
      <c r="M19" s="38">
        <f>VLOOKUP($G19,'Product List'!$B:$H,6,0)</f>
        <v>4</v>
      </c>
      <c r="N19" s="153">
        <f>VLOOKUP($G19,'Product List'!$B:$H,7,0)</f>
        <v>10</v>
      </c>
      <c r="O19" s="172">
        <f t="shared" si="0"/>
        <v>1</v>
      </c>
      <c r="P19" s="159"/>
      <c r="Q19" s="166">
        <f t="shared" si="1"/>
        <v>0</v>
      </c>
      <c r="R19" s="104">
        <f t="shared" si="4"/>
        <v>129.4</v>
      </c>
      <c r="S19" s="111">
        <f t="shared" si="5"/>
        <v>1</v>
      </c>
      <c r="T19" s="3"/>
      <c r="U19" s="267"/>
      <c r="V19" s="268"/>
      <c r="W19" s="268"/>
      <c r="X19" s="268"/>
      <c r="Y19" s="268"/>
      <c r="Z19" s="268"/>
      <c r="AA19" s="268"/>
      <c r="AB19" s="268"/>
      <c r="AC19" s="268"/>
      <c r="AD19" s="268"/>
      <c r="AE19" s="269"/>
      <c r="AF19" s="3"/>
      <c r="AG19" s="3"/>
      <c r="AH19" s="3"/>
      <c r="AI19" s="3"/>
      <c r="AJ19" s="3"/>
      <c r="AK19" s="3"/>
      <c r="AL19" s="3"/>
      <c r="AM19" s="3"/>
    </row>
    <row r="20" spans="1:39" ht="15" customHeight="1" x14ac:dyDescent="0.4">
      <c r="A20" s="3"/>
      <c r="B20" s="139" t="str">
        <f>VLOOKUP($G20,'Product List'!$B:$H,2,0)</f>
        <v>AGM020-623-000</v>
      </c>
      <c r="C20" s="143" t="str">
        <f>HYPERLINK(VLOOKUP($G20,'Product List'!$B:$H,3,0),"VIEW")</f>
        <v>VIEW</v>
      </c>
      <c r="D20" s="193" t="str">
        <f>VLOOKUP($G20,'Product List'!$B:$H,4,0)</f>
        <v>RPKE-000-031</v>
      </c>
      <c r="E20" s="30">
        <v>14</v>
      </c>
      <c r="F20" s="23">
        <v>4</v>
      </c>
      <c r="G20" s="55" t="s">
        <v>6</v>
      </c>
      <c r="H20" s="133"/>
      <c r="I20" s="19">
        <f t="shared" si="6"/>
        <v>2</v>
      </c>
      <c r="J20" s="5">
        <f t="shared" si="7"/>
        <v>3</v>
      </c>
      <c r="K20" s="65">
        <f>IF($N$3="GBP",VLOOKUP(G20,'Product List'!B:N,10,FALSE),IF($N$3="EUR",VLOOKUP(G20,'Product List'!B:N,11,FALSE),IF($N$3="USD",VLOOKUP(G20,'Product List'!B:N,12,FALSE))))</f>
        <v>12.94</v>
      </c>
      <c r="L20" s="64">
        <f>SUM(K20*(1-S3))</f>
        <v>0</v>
      </c>
      <c r="M20" s="38">
        <f>VLOOKUP($G20,'Product List'!$B:$H,6,0)</f>
        <v>4</v>
      </c>
      <c r="N20" s="153">
        <f>VLOOKUP($G20,'Product List'!$B:$H,7,0)</f>
        <v>10</v>
      </c>
      <c r="O20" s="172">
        <f t="shared" si="0"/>
        <v>0</v>
      </c>
      <c r="P20" s="159"/>
      <c r="Q20" s="166">
        <f t="shared" si="1"/>
        <v>0</v>
      </c>
      <c r="R20" s="104">
        <f t="shared" si="4"/>
        <v>0</v>
      </c>
      <c r="S20" s="111">
        <f t="shared" si="5"/>
        <v>0</v>
      </c>
      <c r="T20" s="3"/>
      <c r="U20" s="267"/>
      <c r="V20" s="268"/>
      <c r="W20" s="268"/>
      <c r="X20" s="268"/>
      <c r="Y20" s="268"/>
      <c r="Z20" s="268"/>
      <c r="AA20" s="268"/>
      <c r="AB20" s="268"/>
      <c r="AC20" s="268"/>
      <c r="AD20" s="268"/>
      <c r="AE20" s="269"/>
      <c r="AF20" s="3"/>
      <c r="AG20" s="3"/>
      <c r="AH20" s="3"/>
      <c r="AI20" s="3"/>
      <c r="AJ20" s="3"/>
      <c r="AK20" s="3"/>
      <c r="AL20" s="3"/>
      <c r="AM20" s="3"/>
    </row>
    <row r="21" spans="1:39" ht="15" customHeight="1" x14ac:dyDescent="0.4">
      <c r="A21" s="3"/>
      <c r="B21" s="140" t="str">
        <f>VLOOKUP($G21,'Product List'!$B:$H,2,0)</f>
        <v>AEB010-0AY-800</v>
      </c>
      <c r="C21" s="144" t="str">
        <f>HYPERLINK(VLOOKUP($G21,'Product List'!$B:$H,3,0),"VIEW")</f>
        <v>VIEW</v>
      </c>
      <c r="D21" s="193" t="str">
        <f>VLOOKUP($G21,'Product List'!$B:$H,4,0)</f>
        <v>RPKE-000-032</v>
      </c>
      <c r="E21" s="15">
        <v>15</v>
      </c>
      <c r="F21" s="23">
        <v>1</v>
      </c>
      <c r="G21" s="56" t="s">
        <v>7</v>
      </c>
      <c r="H21" s="133"/>
      <c r="I21" s="19">
        <f>COUNTIF(G$21:G$26,G21)</f>
        <v>2</v>
      </c>
      <c r="J21" s="5">
        <f>MATCH(G21,G$21:G$26,0)</f>
        <v>1</v>
      </c>
      <c r="K21" s="67">
        <f>IF($N$3="GBP",VLOOKUP(G21,'Product List'!B:N,10,FALSE),IF($N$3="EUR",VLOOKUP(G21,'Product List'!B:N,11,FALSE),IF($N$3="USD",VLOOKUP(G21,'Product List'!B:N,12,FALSE))))</f>
        <v>22.41</v>
      </c>
      <c r="L21" s="66">
        <f>SUM(K21*(1-S3))</f>
        <v>0</v>
      </c>
      <c r="M21" s="38">
        <f>VLOOKUP($G21,'Product List'!$B:$H,6,0)</f>
        <v>3</v>
      </c>
      <c r="N21" s="154">
        <f>VLOOKUP($G21,'Product List'!$B:$H,7,0)</f>
        <v>10</v>
      </c>
      <c r="O21" s="173">
        <f t="shared" si="0"/>
        <v>1</v>
      </c>
      <c r="P21" s="160"/>
      <c r="Q21" s="167">
        <f t="shared" si="1"/>
        <v>0</v>
      </c>
      <c r="R21" s="213">
        <f t="shared" si="4"/>
        <v>224.1</v>
      </c>
      <c r="S21" s="112">
        <f t="shared" ref="S21:S53" si="8">IFERROR((R21-Q21)/R21,0)</f>
        <v>1</v>
      </c>
      <c r="T21" s="3"/>
      <c r="U21" s="267"/>
      <c r="V21" s="268"/>
      <c r="W21" s="268"/>
      <c r="X21" s="268"/>
      <c r="Y21" s="268"/>
      <c r="Z21" s="268"/>
      <c r="AA21" s="268"/>
      <c r="AB21" s="268"/>
      <c r="AC21" s="268"/>
      <c r="AD21" s="268"/>
      <c r="AE21" s="269"/>
      <c r="AF21" s="3"/>
      <c r="AG21" s="3"/>
      <c r="AH21" s="3"/>
      <c r="AI21" s="3"/>
      <c r="AJ21" s="3"/>
      <c r="AK21" s="3"/>
      <c r="AL21" s="3"/>
      <c r="AM21" s="3"/>
    </row>
    <row r="22" spans="1:39" ht="15.75" customHeight="1" x14ac:dyDescent="0.4">
      <c r="A22" s="3"/>
      <c r="B22" s="140" t="str">
        <f>VLOOKUP($G22,'Product List'!$B:$H,2,0)</f>
        <v>AEB030-0AY-000</v>
      </c>
      <c r="C22" s="144" t="str">
        <f>HYPERLINK(VLOOKUP($G22,'Product List'!$B:$H,3,0),"VIEW")</f>
        <v>VIEW</v>
      </c>
      <c r="D22" s="193" t="str">
        <f>VLOOKUP($G22,'Product List'!$B:$H,4,0)</f>
        <v>RPKE-000-034</v>
      </c>
      <c r="E22" s="15">
        <v>16</v>
      </c>
      <c r="F22" s="23">
        <v>2</v>
      </c>
      <c r="G22" s="56" t="s">
        <v>8</v>
      </c>
      <c r="H22" s="133"/>
      <c r="I22" s="19">
        <f t="shared" ref="I22:I26" si="9">COUNTIF(G$21:G$26,G22)</f>
        <v>2</v>
      </c>
      <c r="J22" s="5">
        <f t="shared" ref="J22:J26" si="10">MATCH(G22,G$21:G$26,0)</f>
        <v>2</v>
      </c>
      <c r="K22" s="67">
        <f>IF($N$3="GBP",VLOOKUP(G22,'Product List'!B:N,10,FALSE),IF($N$3="EUR",VLOOKUP(G22,'Product List'!B:N,11,FALSE),IF($N$3="USD",VLOOKUP(G22,'Product List'!B:N,12,FALSE))))</f>
        <v>30.45</v>
      </c>
      <c r="L22" s="66">
        <f>SUM(K22*(1-S3))</f>
        <v>0</v>
      </c>
      <c r="M22" s="38">
        <f>VLOOKUP($G22,'Product List'!$B:$H,6,0)</f>
        <v>3</v>
      </c>
      <c r="N22" s="154">
        <f>VLOOKUP($G22,'Product List'!$B:$H,7,0)</f>
        <v>10</v>
      </c>
      <c r="O22" s="173">
        <f t="shared" si="0"/>
        <v>1</v>
      </c>
      <c r="P22" s="160"/>
      <c r="Q22" s="167">
        <f t="shared" si="1"/>
        <v>0</v>
      </c>
      <c r="R22" s="213">
        <f t="shared" si="4"/>
        <v>304.5</v>
      </c>
      <c r="S22" s="112">
        <f t="shared" si="8"/>
        <v>1</v>
      </c>
      <c r="T22" s="3"/>
      <c r="U22" s="267"/>
      <c r="V22" s="268"/>
      <c r="W22" s="268"/>
      <c r="X22" s="268"/>
      <c r="Y22" s="268"/>
      <c r="Z22" s="268"/>
      <c r="AA22" s="268"/>
      <c r="AB22" s="268"/>
      <c r="AC22" s="268"/>
      <c r="AD22" s="268"/>
      <c r="AE22" s="269"/>
      <c r="AF22" s="3"/>
      <c r="AG22" s="3"/>
      <c r="AH22" s="3"/>
      <c r="AI22" s="3"/>
      <c r="AJ22" s="3"/>
      <c r="AK22" s="3"/>
      <c r="AL22" s="3"/>
      <c r="AM22" s="3"/>
    </row>
    <row r="23" spans="1:39" ht="15" customHeight="1" x14ac:dyDescent="0.4">
      <c r="A23" s="3"/>
      <c r="B23" s="140" t="str">
        <f>VLOOKUP($G23,'Product List'!$B:$H,2,0)</f>
        <v>AEB040-0A1-A00</v>
      </c>
      <c r="C23" s="144" t="str">
        <f>HYPERLINK(VLOOKUP($G23,'Product List'!$B:$H,3,0),"VIEW")</f>
        <v>VIEW</v>
      </c>
      <c r="D23" s="193" t="str">
        <f>VLOOKUP($G23,'Product List'!$B:$H,4,0)</f>
        <v>RPKE-000-035</v>
      </c>
      <c r="E23" s="15">
        <v>17</v>
      </c>
      <c r="F23" s="23">
        <v>3</v>
      </c>
      <c r="G23" s="56" t="s">
        <v>9</v>
      </c>
      <c r="H23" s="133"/>
      <c r="I23" s="19">
        <f t="shared" si="9"/>
        <v>2</v>
      </c>
      <c r="J23" s="5">
        <f t="shared" si="10"/>
        <v>3</v>
      </c>
      <c r="K23" s="67">
        <f>IF($N$3="GBP",VLOOKUP(G23,'Product List'!B:N,10,FALSE),IF($N$3="EUR",VLOOKUP(G23,'Product List'!B:N,11,FALSE),IF($N$3="USD",VLOOKUP(G23,'Product List'!B:N,12,FALSE))))</f>
        <v>34.42</v>
      </c>
      <c r="L23" s="66">
        <f>SUM(K23*(1-S3))</f>
        <v>0</v>
      </c>
      <c r="M23" s="38">
        <f>VLOOKUP($G23,'Product List'!$B:$H,6,0)</f>
        <v>3</v>
      </c>
      <c r="N23" s="154">
        <f>VLOOKUP($G23,'Product List'!$B:$H,7,0)</f>
        <v>10</v>
      </c>
      <c r="O23" s="173">
        <f t="shared" si="0"/>
        <v>1</v>
      </c>
      <c r="P23" s="160"/>
      <c r="Q23" s="167">
        <f t="shared" si="1"/>
        <v>0</v>
      </c>
      <c r="R23" s="213">
        <f t="shared" si="4"/>
        <v>344.20000000000005</v>
      </c>
      <c r="S23" s="112">
        <f t="shared" si="8"/>
        <v>1</v>
      </c>
      <c r="T23" s="3"/>
      <c r="U23" s="267"/>
      <c r="V23" s="268"/>
      <c r="W23" s="268"/>
      <c r="X23" s="268"/>
      <c r="Y23" s="268"/>
      <c r="Z23" s="268"/>
      <c r="AA23" s="268"/>
      <c r="AB23" s="268"/>
      <c r="AC23" s="268"/>
      <c r="AD23" s="268"/>
      <c r="AE23" s="269"/>
      <c r="AF23" s="3"/>
      <c r="AG23" s="3"/>
      <c r="AH23" s="3"/>
      <c r="AI23" s="3"/>
      <c r="AJ23" s="3"/>
      <c r="AK23" s="3"/>
      <c r="AL23" s="3"/>
      <c r="AM23" s="3"/>
    </row>
    <row r="24" spans="1:39" ht="15" customHeight="1" x14ac:dyDescent="0.4">
      <c r="A24" s="3"/>
      <c r="B24" s="140" t="str">
        <f>VLOOKUP($G24,'Product List'!$B:$H,2,0)</f>
        <v>AEB010-0AY-800</v>
      </c>
      <c r="C24" s="144" t="str">
        <f>HYPERLINK(VLOOKUP($G24,'Product List'!$B:$H,3,0),"VIEW")</f>
        <v>VIEW</v>
      </c>
      <c r="D24" s="193" t="str">
        <f>VLOOKUP($G24,'Product List'!$B:$H,4,0)</f>
        <v>RPKE-000-032</v>
      </c>
      <c r="E24" s="15">
        <v>18</v>
      </c>
      <c r="F24" s="23">
        <v>4</v>
      </c>
      <c r="G24" s="56" t="s">
        <v>7</v>
      </c>
      <c r="H24" s="133"/>
      <c r="I24" s="19">
        <f t="shared" si="9"/>
        <v>2</v>
      </c>
      <c r="J24" s="5">
        <f t="shared" si="10"/>
        <v>1</v>
      </c>
      <c r="K24" s="67">
        <f>IF($N$3="GBP",VLOOKUP(G24,'Product List'!B:N,10,FALSE),IF($N$3="EUR",VLOOKUP(G24,'Product List'!B:N,11,FALSE),IF($N$3="USD",VLOOKUP(G24,'Product List'!B:N,12,FALSE))))</f>
        <v>22.41</v>
      </c>
      <c r="L24" s="66">
        <f>SUM(K24*(1-S3))</f>
        <v>0</v>
      </c>
      <c r="M24" s="38">
        <f>VLOOKUP($G24,'Product List'!$B:$H,6,0)</f>
        <v>3</v>
      </c>
      <c r="N24" s="154">
        <f>VLOOKUP($G24,'Product List'!$B:$H,7,0)</f>
        <v>10</v>
      </c>
      <c r="O24" s="173">
        <f>IF(J24=F24,ROUNDUP(SUM(I24*M24)/N24,0),0)</f>
        <v>0</v>
      </c>
      <c r="P24" s="160"/>
      <c r="Q24" s="167">
        <f t="shared" si="1"/>
        <v>0</v>
      </c>
      <c r="R24" s="213">
        <f t="shared" si="4"/>
        <v>0</v>
      </c>
      <c r="S24" s="112">
        <f t="shared" si="8"/>
        <v>0</v>
      </c>
      <c r="T24" s="3"/>
      <c r="U24" s="267"/>
      <c r="V24" s="268"/>
      <c r="W24" s="268"/>
      <c r="X24" s="268"/>
      <c r="Y24" s="268"/>
      <c r="Z24" s="268"/>
      <c r="AA24" s="268"/>
      <c r="AB24" s="268"/>
      <c r="AC24" s="268"/>
      <c r="AD24" s="268"/>
      <c r="AE24" s="269"/>
      <c r="AF24" s="3"/>
      <c r="AG24" s="3"/>
      <c r="AH24" s="3"/>
      <c r="AI24" s="3"/>
      <c r="AJ24" s="3"/>
      <c r="AK24" s="3"/>
      <c r="AL24" s="3"/>
      <c r="AM24" s="3"/>
    </row>
    <row r="25" spans="1:39" ht="15" customHeight="1" x14ac:dyDescent="0.4">
      <c r="A25" s="3"/>
      <c r="B25" s="140" t="str">
        <f>VLOOKUP($G25,'Product List'!$B:$H,2,0)</f>
        <v>AEB030-0AY-000</v>
      </c>
      <c r="C25" s="144" t="str">
        <f>HYPERLINK(VLOOKUP($G25,'Product List'!$B:$H,3,0),"VIEW")</f>
        <v>VIEW</v>
      </c>
      <c r="D25" s="193" t="str">
        <f>VLOOKUP($G25,'Product List'!$B:$H,4,0)</f>
        <v>RPKE-000-034</v>
      </c>
      <c r="E25" s="15">
        <v>19</v>
      </c>
      <c r="F25" s="23">
        <v>5</v>
      </c>
      <c r="G25" s="56" t="s">
        <v>8</v>
      </c>
      <c r="H25" s="133"/>
      <c r="I25" s="19">
        <f t="shared" si="9"/>
        <v>2</v>
      </c>
      <c r="J25" s="5">
        <f t="shared" si="10"/>
        <v>2</v>
      </c>
      <c r="K25" s="67">
        <f>IF($N$3="GBP",VLOOKUP(G25,'Product List'!B:N,10,FALSE),IF($N$3="EUR",VLOOKUP(G25,'Product List'!B:N,11,FALSE),IF($N$3="USD",VLOOKUP(G25,'Product List'!B:N,12,FALSE))))</f>
        <v>30.45</v>
      </c>
      <c r="L25" s="66">
        <f>SUM(K25*(1-S3))</f>
        <v>0</v>
      </c>
      <c r="M25" s="38">
        <f>VLOOKUP($G25,'Product List'!$B:$H,6,0)</f>
        <v>3</v>
      </c>
      <c r="N25" s="154">
        <f>VLOOKUP($G25,'Product List'!$B:$H,7,0)</f>
        <v>10</v>
      </c>
      <c r="O25" s="173">
        <f t="shared" si="0"/>
        <v>0</v>
      </c>
      <c r="P25" s="160"/>
      <c r="Q25" s="167">
        <f t="shared" si="1"/>
        <v>0</v>
      </c>
      <c r="R25" s="213">
        <f t="shared" si="4"/>
        <v>0</v>
      </c>
      <c r="S25" s="112">
        <f t="shared" si="8"/>
        <v>0</v>
      </c>
      <c r="T25" s="3"/>
      <c r="U25" s="267"/>
      <c r="V25" s="268"/>
      <c r="W25" s="268"/>
      <c r="X25" s="268"/>
      <c r="Y25" s="268"/>
      <c r="Z25" s="268"/>
      <c r="AA25" s="268"/>
      <c r="AB25" s="268"/>
      <c r="AC25" s="268"/>
      <c r="AD25" s="268"/>
      <c r="AE25" s="269"/>
      <c r="AF25" s="3"/>
      <c r="AG25" s="3"/>
      <c r="AH25" s="3"/>
      <c r="AI25" s="3"/>
      <c r="AJ25" s="3"/>
      <c r="AK25" s="3"/>
      <c r="AL25" s="3"/>
      <c r="AM25" s="3"/>
    </row>
    <row r="26" spans="1:39" ht="15" customHeight="1" x14ac:dyDescent="0.4">
      <c r="A26" s="3"/>
      <c r="B26" s="140" t="str">
        <f>VLOOKUP($G26,'Product List'!$B:$H,2,0)</f>
        <v>AEB040-0A1-A00</v>
      </c>
      <c r="C26" s="144" t="str">
        <f>HYPERLINK(VLOOKUP($G26,'Product List'!$B:$H,3,0),"VIEW")</f>
        <v>VIEW</v>
      </c>
      <c r="D26" s="193" t="str">
        <f>VLOOKUP($G26,'Product List'!$B:$H,4,0)</f>
        <v>RPKE-000-035</v>
      </c>
      <c r="E26" s="15">
        <v>20</v>
      </c>
      <c r="F26" s="23">
        <v>6</v>
      </c>
      <c r="G26" s="56" t="s">
        <v>9</v>
      </c>
      <c r="H26" s="133"/>
      <c r="I26" s="19">
        <f t="shared" si="9"/>
        <v>2</v>
      </c>
      <c r="J26" s="5">
        <f t="shared" si="10"/>
        <v>3</v>
      </c>
      <c r="K26" s="67">
        <f>IF($N$3="GBP",VLOOKUP(G26,'Product List'!B:N,10,FALSE),IF($N$3="EUR",VLOOKUP(G26,'Product List'!B:N,11,FALSE),IF($N$3="USD",VLOOKUP(G26,'Product List'!B:N,12,FALSE))))</f>
        <v>34.42</v>
      </c>
      <c r="L26" s="66">
        <f>SUM(K26*(1-S3))</f>
        <v>0</v>
      </c>
      <c r="M26" s="38">
        <f>VLOOKUP($G26,'Product List'!$B:$H,6,0)</f>
        <v>3</v>
      </c>
      <c r="N26" s="154">
        <f>VLOOKUP($G26,'Product List'!$B:$H,7,0)</f>
        <v>10</v>
      </c>
      <c r="O26" s="173">
        <f t="shared" si="0"/>
        <v>0</v>
      </c>
      <c r="P26" s="160"/>
      <c r="Q26" s="167">
        <f t="shared" si="1"/>
        <v>0</v>
      </c>
      <c r="R26" s="213">
        <f t="shared" si="4"/>
        <v>0</v>
      </c>
      <c r="S26" s="112">
        <f t="shared" si="8"/>
        <v>0</v>
      </c>
      <c r="T26" s="3"/>
      <c r="U26" s="267"/>
      <c r="V26" s="268"/>
      <c r="W26" s="268"/>
      <c r="X26" s="268"/>
      <c r="Y26" s="268"/>
      <c r="Z26" s="268"/>
      <c r="AA26" s="268"/>
      <c r="AB26" s="268"/>
      <c r="AC26" s="268"/>
      <c r="AD26" s="268"/>
      <c r="AE26" s="269"/>
      <c r="AF26" s="3"/>
      <c r="AG26" s="3"/>
      <c r="AH26" s="3"/>
      <c r="AI26" s="3"/>
      <c r="AJ26" s="3"/>
      <c r="AK26" s="3"/>
      <c r="AL26" s="3"/>
      <c r="AM26" s="3"/>
    </row>
    <row r="27" spans="1:39" ht="15" customHeight="1" x14ac:dyDescent="0.4">
      <c r="A27" s="3"/>
      <c r="B27" s="140" t="str">
        <f>VLOOKUP($G27,'Product List'!$B:$H,2,0)</f>
        <v>AEE090-070-21X</v>
      </c>
      <c r="C27" s="144" t="str">
        <f>HYPERLINK(VLOOKUP($G27,'Product List'!$B:$H,3,0),"VIEW")</f>
        <v>VIEW</v>
      </c>
      <c r="D27" s="193" t="str">
        <f>VLOOKUP($G27,'Product List'!$B:$H,4,0)</f>
        <v>RPKE-000-039</v>
      </c>
      <c r="E27" s="15">
        <v>21</v>
      </c>
      <c r="F27" s="23">
        <v>1</v>
      </c>
      <c r="G27" s="56" t="s">
        <v>13</v>
      </c>
      <c r="H27" s="133"/>
      <c r="I27" s="19">
        <f>COUNTIF(G$27:G$30,G27)</f>
        <v>2</v>
      </c>
      <c r="J27" s="5">
        <f>MATCH(G27,G$27:G$30,0)</f>
        <v>1</v>
      </c>
      <c r="K27" s="67">
        <f>IF($N$3="GBP",VLOOKUP(G27,'Product List'!B:N,10,FALSE),IF($N$3="EUR",VLOOKUP(G27,'Product List'!B:N,11,FALSE),IF($N$3="USD",VLOOKUP(G27,'Product List'!B:N,12,FALSE))))</f>
        <v>3.72</v>
      </c>
      <c r="L27" s="66">
        <f>SUM(K27*(1-S3))</f>
        <v>0</v>
      </c>
      <c r="M27" s="38">
        <f>VLOOKUP($G27,'Product List'!$B:$H,6,0)</f>
        <v>20</v>
      </c>
      <c r="N27" s="154">
        <f>VLOOKUP($G27,'Product List'!$B:$H,7,0)</f>
        <v>40</v>
      </c>
      <c r="O27" s="173">
        <f t="shared" si="0"/>
        <v>1</v>
      </c>
      <c r="P27" s="160"/>
      <c r="Q27" s="167">
        <f t="shared" si="1"/>
        <v>0</v>
      </c>
      <c r="R27" s="213">
        <f t="shared" si="4"/>
        <v>148.80000000000001</v>
      </c>
      <c r="S27" s="112">
        <f t="shared" si="8"/>
        <v>1</v>
      </c>
      <c r="T27" s="3"/>
      <c r="U27" s="267"/>
      <c r="V27" s="268"/>
      <c r="W27" s="268"/>
      <c r="X27" s="268"/>
      <c r="Y27" s="268"/>
      <c r="Z27" s="268"/>
      <c r="AA27" s="268"/>
      <c r="AB27" s="268"/>
      <c r="AC27" s="268"/>
      <c r="AD27" s="268"/>
      <c r="AE27" s="269"/>
      <c r="AF27" s="3"/>
      <c r="AG27" s="3"/>
      <c r="AH27" s="3"/>
      <c r="AI27" s="3"/>
      <c r="AJ27" s="3"/>
      <c r="AK27" s="3"/>
      <c r="AL27" s="3"/>
      <c r="AM27" s="3"/>
    </row>
    <row r="28" spans="1:39" ht="15.75" customHeight="1" x14ac:dyDescent="0.4">
      <c r="A28" s="3"/>
      <c r="B28" s="140" t="str">
        <f>VLOOKUP($G28,'Product List'!$B:$H,2,0)</f>
        <v>AEE090-070-21X</v>
      </c>
      <c r="C28" s="144" t="str">
        <f>HYPERLINK(VLOOKUP($G28,'Product List'!$B:$H,3,0),"VIEW")</f>
        <v>VIEW</v>
      </c>
      <c r="D28" s="193" t="str">
        <f>VLOOKUP($G28,'Product List'!$B:$H,4,0)</f>
        <v>RPKE-000-039</v>
      </c>
      <c r="E28" s="15">
        <v>22</v>
      </c>
      <c r="F28" s="23">
        <v>2</v>
      </c>
      <c r="G28" s="56" t="s">
        <v>13</v>
      </c>
      <c r="H28" s="133"/>
      <c r="I28" s="19">
        <f t="shared" ref="I28:I30" si="11">COUNTIF(G$27:G$30,G28)</f>
        <v>2</v>
      </c>
      <c r="J28" s="5">
        <f t="shared" ref="J28:J30" si="12">MATCH(G28,G$27:G$30,0)</f>
        <v>1</v>
      </c>
      <c r="K28" s="67">
        <f>IF($N$3="GBP",VLOOKUP(G28,'Product List'!B:N,10,FALSE),IF($N$3="EUR",VLOOKUP(G28,'Product List'!B:N,11,FALSE),IF($N$3="USD",VLOOKUP(G28,'Product List'!B:N,12,FALSE))))</f>
        <v>3.72</v>
      </c>
      <c r="L28" s="66">
        <f>SUM(K28*(1-S3))</f>
        <v>0</v>
      </c>
      <c r="M28" s="38">
        <f>VLOOKUP($G28,'Product List'!$B:$H,6,0)</f>
        <v>20</v>
      </c>
      <c r="N28" s="154">
        <f>VLOOKUP($G28,'Product List'!$B:$H,7,0)</f>
        <v>40</v>
      </c>
      <c r="O28" s="173">
        <f t="shared" si="0"/>
        <v>0</v>
      </c>
      <c r="P28" s="160"/>
      <c r="Q28" s="167">
        <f t="shared" si="1"/>
        <v>0</v>
      </c>
      <c r="R28" s="213">
        <f t="shared" si="4"/>
        <v>0</v>
      </c>
      <c r="S28" s="113">
        <f t="shared" si="8"/>
        <v>0</v>
      </c>
      <c r="T28" s="3"/>
      <c r="U28" s="267"/>
      <c r="V28" s="268"/>
      <c r="W28" s="268"/>
      <c r="X28" s="268"/>
      <c r="Y28" s="268"/>
      <c r="Z28" s="268"/>
      <c r="AA28" s="268"/>
      <c r="AB28" s="268"/>
      <c r="AC28" s="268"/>
      <c r="AD28" s="268"/>
      <c r="AE28" s="269"/>
      <c r="AF28" s="3"/>
      <c r="AG28" s="3"/>
      <c r="AH28" s="3"/>
      <c r="AI28" s="3"/>
      <c r="AJ28" s="3"/>
      <c r="AK28" s="3"/>
      <c r="AL28" s="3"/>
      <c r="AM28" s="3"/>
    </row>
    <row r="29" spans="1:39" ht="15.75" customHeight="1" x14ac:dyDescent="0.4">
      <c r="A29" s="3"/>
      <c r="B29" s="140" t="str">
        <f>VLOOKUP($G29,'Product List'!$B:$H,2,0)</f>
        <v>AEB030-0CY-000</v>
      </c>
      <c r="C29" s="144" t="str">
        <f>HYPERLINK(VLOOKUP($G29,'Product List'!$B:$H,3,0),"VIEW")</f>
        <v>VIEW</v>
      </c>
      <c r="D29" s="193" t="str">
        <f>VLOOKUP($G29,'Product List'!$B:$H,4,0)</f>
        <v>RPKE-000-037</v>
      </c>
      <c r="E29" s="15">
        <v>23</v>
      </c>
      <c r="F29" s="23">
        <v>3</v>
      </c>
      <c r="G29" s="56" t="s">
        <v>11</v>
      </c>
      <c r="H29" s="133"/>
      <c r="I29" s="19">
        <f t="shared" si="11"/>
        <v>2</v>
      </c>
      <c r="J29" s="5">
        <f t="shared" si="12"/>
        <v>3</v>
      </c>
      <c r="K29" s="67">
        <f>IF($N$3="GBP",VLOOKUP(G29,'Product List'!B:N,10,FALSE),IF($N$3="EUR",VLOOKUP(G29,'Product List'!B:N,11,FALSE),IF($N$3="USD",VLOOKUP(G29,'Product List'!B:N,12,FALSE))))</f>
        <v>30.45</v>
      </c>
      <c r="L29" s="66">
        <f>SUM(K29*(1-S3))</f>
        <v>0</v>
      </c>
      <c r="M29" s="38">
        <f>VLOOKUP($G29,'Product List'!$B:$H,6,0)</f>
        <v>3</v>
      </c>
      <c r="N29" s="154">
        <f>VLOOKUP($G29,'Product List'!$B:$H,7,0)</f>
        <v>10</v>
      </c>
      <c r="O29" s="173">
        <f t="shared" si="0"/>
        <v>1</v>
      </c>
      <c r="P29" s="160"/>
      <c r="Q29" s="167">
        <f t="shared" si="1"/>
        <v>0</v>
      </c>
      <c r="R29" s="213">
        <f t="shared" si="4"/>
        <v>304.5</v>
      </c>
      <c r="S29" s="112">
        <f t="shared" si="8"/>
        <v>1</v>
      </c>
      <c r="T29" s="3"/>
      <c r="U29" s="267"/>
      <c r="V29" s="268"/>
      <c r="W29" s="268"/>
      <c r="X29" s="268"/>
      <c r="Y29" s="268"/>
      <c r="Z29" s="268"/>
      <c r="AA29" s="268"/>
      <c r="AB29" s="268"/>
      <c r="AC29" s="268"/>
      <c r="AD29" s="268"/>
      <c r="AE29" s="269"/>
      <c r="AF29" s="3"/>
      <c r="AG29" s="3"/>
      <c r="AH29" s="3"/>
      <c r="AI29" s="3"/>
      <c r="AJ29" s="3"/>
      <c r="AK29" s="3"/>
      <c r="AL29" s="3"/>
      <c r="AM29" s="3"/>
    </row>
    <row r="30" spans="1:39" ht="15" customHeight="1" x14ac:dyDescent="0.4">
      <c r="A30" s="3"/>
      <c r="B30" s="140" t="str">
        <f>VLOOKUP($G30,'Product List'!$B:$H,2,0)</f>
        <v>AEB030-0CY-000</v>
      </c>
      <c r="C30" s="144" t="str">
        <f>HYPERLINK(VLOOKUP($G30,'Product List'!$B:$H,3,0),"VIEW")</f>
        <v>VIEW</v>
      </c>
      <c r="D30" s="193" t="str">
        <f>VLOOKUP($G30,'Product List'!$B:$H,4,0)</f>
        <v>RPKE-000-037</v>
      </c>
      <c r="E30" s="15">
        <v>24</v>
      </c>
      <c r="F30" s="23">
        <v>4</v>
      </c>
      <c r="G30" s="56" t="s">
        <v>11</v>
      </c>
      <c r="H30" s="133"/>
      <c r="I30" s="19">
        <f t="shared" si="11"/>
        <v>2</v>
      </c>
      <c r="J30" s="5">
        <f t="shared" si="12"/>
        <v>3</v>
      </c>
      <c r="K30" s="67">
        <f>IF($N$3="GBP",VLOOKUP(G30,'Product List'!B:N,10,FALSE),IF($N$3="EUR",VLOOKUP(G30,'Product List'!B:N,11,FALSE),IF($N$3="USD",VLOOKUP(G30,'Product List'!B:N,12,FALSE))))</f>
        <v>30.45</v>
      </c>
      <c r="L30" s="66">
        <f>SUM(K30*(1-S3))</f>
        <v>0</v>
      </c>
      <c r="M30" s="38">
        <f>VLOOKUP($G30,'Product List'!$B:$H,6,0)</f>
        <v>3</v>
      </c>
      <c r="N30" s="154">
        <f>VLOOKUP($G30,'Product List'!$B:$H,7,0)</f>
        <v>10</v>
      </c>
      <c r="O30" s="173">
        <f t="shared" si="0"/>
        <v>0</v>
      </c>
      <c r="P30" s="160"/>
      <c r="Q30" s="167">
        <f t="shared" si="1"/>
        <v>0</v>
      </c>
      <c r="R30" s="213">
        <f t="shared" si="4"/>
        <v>0</v>
      </c>
      <c r="S30" s="112">
        <f t="shared" si="8"/>
        <v>0</v>
      </c>
      <c r="T30" s="3"/>
      <c r="U30" s="11"/>
      <c r="V30" s="3"/>
      <c r="W30" s="3"/>
      <c r="X30" s="3"/>
      <c r="Y30" s="3"/>
      <c r="Z30" s="3"/>
      <c r="AA30" s="3"/>
      <c r="AB30" s="3"/>
      <c r="AC30" s="3"/>
      <c r="AD30" s="3"/>
      <c r="AE30" s="4"/>
      <c r="AF30" s="3"/>
      <c r="AG30" s="3"/>
      <c r="AH30" s="3"/>
      <c r="AI30" s="3"/>
      <c r="AJ30" s="3"/>
      <c r="AK30" s="3"/>
      <c r="AL30" s="3"/>
      <c r="AM30" s="3"/>
    </row>
    <row r="31" spans="1:39" ht="15" customHeight="1" x14ac:dyDescent="0.4">
      <c r="A31" s="3"/>
      <c r="B31" s="145" t="str">
        <f>VLOOKUP($G31,'Product List'!$B:$H,2,0)</f>
        <v>AAF000-001-100</v>
      </c>
      <c r="C31" s="146" t="str">
        <f>HYPERLINK(VLOOKUP($G31,'Product List'!$B:$H,3,0),"VIEW")</f>
        <v>VIEW</v>
      </c>
      <c r="D31" s="193" t="str">
        <f>VLOOKUP($G31,'Product List'!$B:$H,4,0)</f>
        <v>RPKE-000-005</v>
      </c>
      <c r="E31" s="16">
        <v>25</v>
      </c>
      <c r="F31" s="3">
        <v>1</v>
      </c>
      <c r="G31" s="57" t="s">
        <v>3</v>
      </c>
      <c r="H31" s="133"/>
      <c r="I31" s="19">
        <f>COUNTIF(G$31:G$34,G31)</f>
        <v>1</v>
      </c>
      <c r="J31" s="5">
        <f>MATCH(G31,G$31:G$34,0)</f>
        <v>1</v>
      </c>
      <c r="K31" s="70">
        <f>IF($N$3="GBP",VLOOKUP(G31,'Product List'!B:N,10,FALSE),IF($N$3="EUR",VLOOKUP(G31,'Product List'!B:N,11,FALSE),IF($N$3="USD",VLOOKUP(G31,'Product List'!B:N,12,FALSE))))</f>
        <v>29.09</v>
      </c>
      <c r="L31" s="69">
        <f>SUM(K31*(1-S3))</f>
        <v>0</v>
      </c>
      <c r="M31" s="38">
        <f>VLOOKUP($G31,'Product List'!$B:$H,6,0)</f>
        <v>10</v>
      </c>
      <c r="N31" s="155">
        <f>VLOOKUP($G31,'Product List'!$B:$H,7,0)</f>
        <v>20</v>
      </c>
      <c r="O31" s="174">
        <f t="shared" si="0"/>
        <v>1</v>
      </c>
      <c r="P31" s="161"/>
      <c r="Q31" s="168">
        <f t="shared" si="1"/>
        <v>0</v>
      </c>
      <c r="R31" s="215">
        <f t="shared" si="4"/>
        <v>581.79999999999995</v>
      </c>
      <c r="S31" s="114">
        <f t="shared" si="8"/>
        <v>1</v>
      </c>
      <c r="T31" s="3"/>
      <c r="U31" s="11"/>
      <c r="V31" s="270" t="s">
        <v>206</v>
      </c>
      <c r="W31" s="271"/>
      <c r="X31" s="271"/>
      <c r="Y31" s="271"/>
      <c r="Z31" s="272">
        <v>1</v>
      </c>
      <c r="AA31" s="274" t="s">
        <v>157</v>
      </c>
      <c r="AB31" s="274"/>
      <c r="AC31" s="275" t="s">
        <v>158</v>
      </c>
      <c r="AD31" s="276"/>
      <c r="AE31" s="4"/>
      <c r="AF31" s="3"/>
      <c r="AG31" s="3"/>
      <c r="AH31" s="3"/>
      <c r="AI31" s="3"/>
      <c r="AJ31" s="3"/>
      <c r="AK31" s="3"/>
      <c r="AL31" s="3"/>
      <c r="AM31" s="3"/>
    </row>
    <row r="32" spans="1:39" ht="15" customHeight="1" x14ac:dyDescent="0.4">
      <c r="A32" s="3"/>
      <c r="B32" s="145" t="str">
        <f>VLOOKUP($G32,'Product List'!$B:$H,2,0)</f>
        <v>AJF030-000-100</v>
      </c>
      <c r="C32" s="146" t="str">
        <f>HYPERLINK(VLOOKUP($G32,'Product List'!$B:$H,3,0),"VIEW")</f>
        <v>VIEW</v>
      </c>
      <c r="D32" s="193" t="str">
        <f>VLOOKUP($G32,'Product List'!$B:$H,4,0)</f>
        <v>RPKE-000-004</v>
      </c>
      <c r="E32" s="16">
        <v>26</v>
      </c>
      <c r="F32" s="3">
        <v>2</v>
      </c>
      <c r="G32" s="57" t="s">
        <v>84</v>
      </c>
      <c r="H32" s="133"/>
      <c r="I32" s="19">
        <f>COUNTIF(G$31:G$34,G32)</f>
        <v>1</v>
      </c>
      <c r="J32" s="5">
        <f>MATCH(G32,G$31:G$34,0)</f>
        <v>2</v>
      </c>
      <c r="K32" s="70">
        <f>IF($N$3="GBP",VLOOKUP(G32,'Product List'!B:N,10,FALSE),IF($N$3="EUR",VLOOKUP(G32,'Product List'!B:N,11,FALSE),IF($N$3="USD",VLOOKUP(G32,'Product List'!B:N,12,FALSE))))</f>
        <v>8.18</v>
      </c>
      <c r="L32" s="69">
        <f>SUM(K32*(1-S3))</f>
        <v>0</v>
      </c>
      <c r="M32" s="38">
        <f>VLOOKUP($G32,'Product List'!$B:$H,6,0)</f>
        <v>5</v>
      </c>
      <c r="N32" s="155">
        <f>VLOOKUP($G32,'Product List'!$B:$H,7,0)</f>
        <v>10</v>
      </c>
      <c r="O32" s="174">
        <f t="shared" si="0"/>
        <v>1</v>
      </c>
      <c r="P32" s="161"/>
      <c r="Q32" s="168">
        <f t="shared" si="1"/>
        <v>0</v>
      </c>
      <c r="R32" s="215">
        <f t="shared" si="4"/>
        <v>81.8</v>
      </c>
      <c r="S32" s="114">
        <f t="shared" si="8"/>
        <v>1</v>
      </c>
      <c r="T32" s="3"/>
      <c r="U32" s="11"/>
      <c r="V32" s="271"/>
      <c r="W32" s="271"/>
      <c r="X32" s="271"/>
      <c r="Y32" s="271"/>
      <c r="Z32" s="273"/>
      <c r="AA32" s="277">
        <f>SUM(Q56*Z32)</f>
        <v>0</v>
      </c>
      <c r="AB32" s="278"/>
      <c r="AC32" s="277">
        <f>SUM(R56*Z32)</f>
        <v>0</v>
      </c>
      <c r="AD32" s="278"/>
      <c r="AE32" s="4"/>
      <c r="AF32" s="3"/>
      <c r="AG32" s="3"/>
      <c r="AH32" s="3"/>
      <c r="AI32" s="3"/>
      <c r="AJ32" s="3"/>
      <c r="AK32" s="3"/>
      <c r="AL32" s="3"/>
      <c r="AM32" s="3"/>
    </row>
    <row r="33" spans="1:39" ht="15" customHeight="1" thickBot="1" x14ac:dyDescent="0.45">
      <c r="A33" s="3"/>
      <c r="B33" s="145" t="str">
        <f>VLOOKUP($G33,'Product List'!$B:$H,2,0)</f>
        <v>AJB170-000-100</v>
      </c>
      <c r="C33" s="146" t="str">
        <f>HYPERLINK(VLOOKUP($G33,'Product List'!$B:$H,3,0),"VIEW")</f>
        <v>VIEW</v>
      </c>
      <c r="D33" s="193" t="str">
        <f>VLOOKUP($G33,'Product List'!$B:$H,4,0)</f>
        <v>RPKE-000-002</v>
      </c>
      <c r="E33" s="16">
        <v>27</v>
      </c>
      <c r="F33" s="3">
        <v>3</v>
      </c>
      <c r="G33" s="57" t="s">
        <v>82</v>
      </c>
      <c r="H33" s="133"/>
      <c r="I33" s="19">
        <f>COUNTIF(G$31:G$34,G33)</f>
        <v>1</v>
      </c>
      <c r="J33" s="5">
        <f>MATCH(G33,G$31:G$34,0)</f>
        <v>3</v>
      </c>
      <c r="K33" s="70">
        <f>IF($N$3="GBP",VLOOKUP(G33,'Product List'!B:N,10,FALSE),IF($N$3="EUR",VLOOKUP(G33,'Product List'!B:N,11,FALSE),IF($N$3="USD",VLOOKUP(G33,'Product List'!B:N,12,FALSE))))</f>
        <v>23.39</v>
      </c>
      <c r="L33" s="69">
        <f>SUM(K33*(1-S3))</f>
        <v>0</v>
      </c>
      <c r="M33" s="38">
        <f>VLOOKUP($G33,'Product List'!$B:$H,6,0)</f>
        <v>5</v>
      </c>
      <c r="N33" s="155">
        <f>VLOOKUP($G33,'Product List'!$B:$H,7,0)</f>
        <v>10</v>
      </c>
      <c r="O33" s="174">
        <f t="shared" si="0"/>
        <v>1</v>
      </c>
      <c r="P33" s="161"/>
      <c r="Q33" s="168">
        <f t="shared" si="1"/>
        <v>0</v>
      </c>
      <c r="R33" s="215">
        <f t="shared" si="4"/>
        <v>233.9</v>
      </c>
      <c r="S33" s="114">
        <f t="shared" si="8"/>
        <v>1</v>
      </c>
      <c r="T33" s="3"/>
      <c r="U33" s="6"/>
      <c r="V33" s="7"/>
      <c r="W33" s="7"/>
      <c r="X33" s="7"/>
      <c r="Y33" s="7"/>
      <c r="Z33" s="7"/>
      <c r="AA33" s="7"/>
      <c r="AB33" s="7"/>
      <c r="AC33" s="7"/>
      <c r="AD33" s="7"/>
      <c r="AE33" s="8"/>
      <c r="AF33" s="3"/>
      <c r="AG33" s="3"/>
      <c r="AH33" s="3"/>
      <c r="AI33" s="3"/>
      <c r="AJ33" s="3"/>
      <c r="AK33" s="3"/>
      <c r="AL33" s="3"/>
      <c r="AM33" s="3"/>
    </row>
    <row r="34" spans="1:39" ht="15" customHeight="1" x14ac:dyDescent="0.4">
      <c r="A34" s="3"/>
      <c r="B34" s="145" t="str">
        <f>VLOOKUP($G34,'Product List'!$B:$H,2,0)</f>
        <v>AJS260-000-100</v>
      </c>
      <c r="C34" s="146" t="str">
        <f>HYPERLINK(VLOOKUP($G34,'Product List'!$B:$H,3,0),"VIEW")</f>
        <v>VIEW</v>
      </c>
      <c r="D34" s="193" t="str">
        <f>VLOOKUP($G34,'Product List'!$B:$H,4,0)</f>
        <v>RPKE-000-007</v>
      </c>
      <c r="E34" s="16">
        <v>28</v>
      </c>
      <c r="F34" s="3">
        <v>4</v>
      </c>
      <c r="G34" s="57" t="s">
        <v>60</v>
      </c>
      <c r="H34" s="133"/>
      <c r="I34" s="19">
        <f>COUNTIF(G$31:G$34,G34)</f>
        <v>1</v>
      </c>
      <c r="J34" s="5">
        <f>MATCH(G34,G$31:G$34,0)</f>
        <v>4</v>
      </c>
      <c r="K34" s="70">
        <f>IF($N$3="GBP",VLOOKUP(G34,'Product List'!B:N,10,FALSE),IF($N$3="EUR",VLOOKUP(G34,'Product List'!B:N,11,FALSE),IF($N$3="USD",VLOOKUP(G34,'Product List'!B:N,12,FALSE))))</f>
        <v>64.510000000000005</v>
      </c>
      <c r="L34" s="69">
        <f>SUM(K34*(1-S3))</f>
        <v>0</v>
      </c>
      <c r="M34" s="38">
        <f>VLOOKUP($G34,'Product List'!$B:$H,6,0)</f>
        <v>2</v>
      </c>
      <c r="N34" s="155">
        <f>VLOOKUP($G34,'Product List'!$B:$H,7,0)</f>
        <v>1</v>
      </c>
      <c r="O34" s="174">
        <f t="shared" si="0"/>
        <v>2</v>
      </c>
      <c r="P34" s="161"/>
      <c r="Q34" s="168">
        <f t="shared" si="1"/>
        <v>0</v>
      </c>
      <c r="R34" s="215">
        <f t="shared" si="4"/>
        <v>129.02000000000001</v>
      </c>
      <c r="S34" s="114">
        <f t="shared" si="8"/>
        <v>1</v>
      </c>
      <c r="T34" s="3"/>
      <c r="U34" s="250"/>
      <c r="V34" s="251"/>
      <c r="W34" s="251"/>
      <c r="X34" s="251"/>
      <c r="Y34" s="251"/>
      <c r="Z34" s="251"/>
      <c r="AA34" s="251"/>
      <c r="AB34" s="251"/>
      <c r="AC34" s="251"/>
      <c r="AD34" s="251"/>
      <c r="AE34" s="251"/>
      <c r="AF34" s="3"/>
      <c r="AG34" s="3"/>
      <c r="AH34" s="3"/>
      <c r="AI34" s="3"/>
      <c r="AJ34" s="3"/>
      <c r="AK34" s="3"/>
      <c r="AL34" s="3"/>
      <c r="AM34" s="3"/>
    </row>
    <row r="35" spans="1:39" ht="15" customHeight="1" x14ac:dyDescent="0.4">
      <c r="A35" s="3"/>
      <c r="B35" s="147" t="str">
        <f>VLOOKUP($G35,'Product List'!$B:$H,2,0)</f>
        <v>BGA172-202-N00</v>
      </c>
      <c r="C35" s="148" t="str">
        <f>HYPERLINK(VLOOKUP($G35,'Product List'!$B:$H,3,0),"VIEW")</f>
        <v>VIEW</v>
      </c>
      <c r="D35" s="193" t="str">
        <f>VLOOKUP($G35,'Product List'!$B:$H,4,0)</f>
        <v>RPKE-000-008</v>
      </c>
      <c r="E35" s="17">
        <v>29</v>
      </c>
      <c r="F35" s="3">
        <v>1</v>
      </c>
      <c r="G35" s="58" t="s">
        <v>67</v>
      </c>
      <c r="H35" s="133"/>
      <c r="I35" s="19">
        <f>COUNTIF(G$35:G$38,G35)</f>
        <v>1</v>
      </c>
      <c r="J35" s="5">
        <f>MATCH(G35,G$35:G$38,0)</f>
        <v>1</v>
      </c>
      <c r="K35" s="72">
        <f>IF($N$3="GBP",VLOOKUP(G35,'Product List'!B:N,10,FALSE),IF($N$3="EUR",VLOOKUP(G35,'Product List'!B:N,11,FALSE),IF($N$3="USD",VLOOKUP(G35,'Product List'!B:N,12,FALSE))))</f>
        <v>2.15</v>
      </c>
      <c r="L35" s="71">
        <f>SUM(K35*(1-S3))</f>
        <v>0</v>
      </c>
      <c r="M35" s="38">
        <f>VLOOKUP($G35,'Product List'!$B:$H,6,0)</f>
        <v>10</v>
      </c>
      <c r="N35" s="156">
        <f>VLOOKUP($G35,'Product List'!$B:$H,7,0)</f>
        <v>10</v>
      </c>
      <c r="O35" s="175">
        <f t="shared" si="0"/>
        <v>1</v>
      </c>
      <c r="P35" s="162"/>
      <c r="Q35" s="169">
        <f t="shared" si="1"/>
        <v>0</v>
      </c>
      <c r="R35" s="214">
        <f t="shared" si="4"/>
        <v>21.5</v>
      </c>
      <c r="S35" s="115">
        <f t="shared" si="8"/>
        <v>1</v>
      </c>
      <c r="T35" s="3"/>
      <c r="U35" s="252" t="str">
        <f>HYPERLINK("mailto:jsp-go@jsp.co.uk " &amp; "?cc=" &amp; "&amp;subject=JSP-GO Retail Stand Request" &amp; "&amp;body=PLEASE SAVE YOUR FILE AND ATTACH IT TO THIS EMAIL. PLEASE INCLUDE ANY OTHER DETAILS THAT WOULD BE HELPFUL TOO.", "SAVE THIS FILE THEN CLICK HERE TO SEND YOUR REQUEST")</f>
        <v>SAVE THIS FILE THEN CLICK HERE TO SEND YOUR REQUEST</v>
      </c>
      <c r="V35" s="253"/>
      <c r="W35" s="253"/>
      <c r="X35" s="253"/>
      <c r="Y35" s="253"/>
      <c r="Z35" s="253"/>
      <c r="AA35" s="253"/>
      <c r="AB35" s="253"/>
      <c r="AC35" s="253"/>
      <c r="AD35" s="253"/>
      <c r="AE35" s="254"/>
      <c r="AF35" s="3"/>
      <c r="AG35" s="3"/>
      <c r="AH35" s="3"/>
      <c r="AI35" s="3"/>
      <c r="AJ35" s="3"/>
      <c r="AK35" s="3"/>
      <c r="AL35" s="3"/>
      <c r="AM35" s="3"/>
    </row>
    <row r="36" spans="1:39" ht="15" customHeight="1" x14ac:dyDescent="0.4">
      <c r="A36" s="3"/>
      <c r="B36" s="147" t="str">
        <f>VLOOKUP($G36,'Product List'!$B:$H,2,0)</f>
        <v>BGA182-206-N00</v>
      </c>
      <c r="C36" s="148" t="str">
        <f>HYPERLINK(VLOOKUP($G36,'Product List'!$B:$H,3,0),"VIEW")</f>
        <v>VIEW</v>
      </c>
      <c r="D36" s="193" t="str">
        <f>VLOOKUP($G36,'Product List'!$B:$H,4,0)</f>
        <v>RPKE-000-009</v>
      </c>
      <c r="E36" s="17">
        <v>30</v>
      </c>
      <c r="F36" s="3">
        <v>2</v>
      </c>
      <c r="G36" s="58" t="s">
        <v>68</v>
      </c>
      <c r="H36" s="133"/>
      <c r="I36" s="19">
        <f t="shared" ref="I36:I38" si="13">COUNTIF(G$35:G$38,G36)</f>
        <v>2</v>
      </c>
      <c r="J36" s="5">
        <f t="shared" ref="J36:J38" si="14">MATCH(G36,G$35:G$38,0)</f>
        <v>2</v>
      </c>
      <c r="K36" s="72">
        <f>IF($N$3="GBP",VLOOKUP(G36,'Product List'!B:N,10,FALSE),IF($N$3="EUR",VLOOKUP(G36,'Product List'!B:N,11,FALSE),IF($N$3="USD",VLOOKUP(G36,'Product List'!B:N,12,FALSE))))</f>
        <v>4.67</v>
      </c>
      <c r="L36" s="71">
        <f>SUM(K36*(1-S3))</f>
        <v>0</v>
      </c>
      <c r="M36" s="38">
        <f>VLOOKUP($G36,'Product List'!$B:$H,6,0)</f>
        <v>10</v>
      </c>
      <c r="N36" s="156">
        <f>VLOOKUP($G36,'Product List'!$B:$H,7,0)</f>
        <v>10</v>
      </c>
      <c r="O36" s="175">
        <f t="shared" si="0"/>
        <v>2</v>
      </c>
      <c r="P36" s="162"/>
      <c r="Q36" s="169">
        <f t="shared" si="1"/>
        <v>0</v>
      </c>
      <c r="R36" s="214">
        <f t="shared" si="4"/>
        <v>93.4</v>
      </c>
      <c r="S36" s="115">
        <f t="shared" si="8"/>
        <v>1</v>
      </c>
      <c r="T36" s="3"/>
      <c r="U36" s="255"/>
      <c r="V36" s="256"/>
      <c r="W36" s="256"/>
      <c r="X36" s="256"/>
      <c r="Y36" s="256"/>
      <c r="Z36" s="256"/>
      <c r="AA36" s="256"/>
      <c r="AB36" s="256"/>
      <c r="AC36" s="256"/>
      <c r="AD36" s="256"/>
      <c r="AE36" s="257"/>
      <c r="AF36" s="3"/>
      <c r="AG36" s="3"/>
      <c r="AH36" s="3"/>
      <c r="AI36" s="3"/>
      <c r="AJ36" s="3"/>
      <c r="AK36" s="3"/>
      <c r="AL36" s="3"/>
      <c r="AM36" s="3"/>
    </row>
    <row r="37" spans="1:39" ht="15" customHeight="1" x14ac:dyDescent="0.4">
      <c r="A37" s="3"/>
      <c r="B37" s="147" t="str">
        <f>VLOOKUP($G37,'Product List'!$B:$H,2,0)</f>
        <v>BGA182-206-N00</v>
      </c>
      <c r="C37" s="148" t="str">
        <f>HYPERLINK(VLOOKUP($G37,'Product List'!$B:$H,3,0),"VIEW")</f>
        <v>VIEW</v>
      </c>
      <c r="D37" s="193" t="str">
        <f>VLOOKUP($G37,'Product List'!$B:$H,4,0)</f>
        <v>RPKE-000-009</v>
      </c>
      <c r="E37" s="17">
        <v>31</v>
      </c>
      <c r="F37" s="3">
        <v>3</v>
      </c>
      <c r="G37" s="58" t="s">
        <v>68</v>
      </c>
      <c r="H37" s="133"/>
      <c r="I37" s="19">
        <f t="shared" si="13"/>
        <v>2</v>
      </c>
      <c r="J37" s="5">
        <f t="shared" si="14"/>
        <v>2</v>
      </c>
      <c r="K37" s="72">
        <f>IF($N$3="GBP",VLOOKUP(G37,'Product List'!B:N,10,FALSE),IF($N$3="EUR",VLOOKUP(G37,'Product List'!B:N,11,FALSE),IF($N$3="USD",VLOOKUP(G37,'Product List'!B:N,12,FALSE))))</f>
        <v>4.67</v>
      </c>
      <c r="L37" s="71">
        <f>SUM(K37*(1-S3))</f>
        <v>0</v>
      </c>
      <c r="M37" s="38">
        <f>VLOOKUP($G37,'Product List'!$B:$H,6,0)</f>
        <v>10</v>
      </c>
      <c r="N37" s="156">
        <f>VLOOKUP($G37,'Product List'!$B:$H,7,0)</f>
        <v>10</v>
      </c>
      <c r="O37" s="175">
        <f t="shared" si="0"/>
        <v>0</v>
      </c>
      <c r="P37" s="162"/>
      <c r="Q37" s="169">
        <f t="shared" si="1"/>
        <v>0</v>
      </c>
      <c r="R37" s="214">
        <f t="shared" si="4"/>
        <v>0</v>
      </c>
      <c r="S37" s="115">
        <f t="shared" si="8"/>
        <v>0</v>
      </c>
      <c r="T37" s="3"/>
      <c r="U37" s="250"/>
      <c r="V37" s="251"/>
      <c r="W37" s="251"/>
      <c r="X37" s="251"/>
      <c r="Y37" s="251"/>
      <c r="Z37" s="251"/>
      <c r="AA37" s="251"/>
      <c r="AB37" s="251"/>
      <c r="AC37" s="251"/>
      <c r="AD37" s="251"/>
      <c r="AE37" s="251"/>
      <c r="AF37" s="3"/>
      <c r="AG37" s="3"/>
      <c r="AH37" s="3"/>
      <c r="AI37" s="3"/>
      <c r="AJ37" s="3"/>
      <c r="AK37" s="3"/>
      <c r="AL37" s="3"/>
      <c r="AM37" s="3"/>
    </row>
    <row r="38" spans="1:39" ht="15" customHeight="1" x14ac:dyDescent="0.4">
      <c r="A38" s="3"/>
      <c r="B38" s="147" t="str">
        <f>VLOOKUP($G38,'Product List'!$B:$H,2,0)</f>
        <v>BGA802-206-N00</v>
      </c>
      <c r="C38" s="148" t="str">
        <f>HYPERLINK(VLOOKUP($G38,'Product List'!$B:$H,3,0),"VIEW")</f>
        <v>VIEW</v>
      </c>
      <c r="D38" s="193" t="str">
        <f>VLOOKUP($G38,'Product List'!$B:$H,4,0)</f>
        <v>RPKE-000-010</v>
      </c>
      <c r="E38" s="17">
        <v>32</v>
      </c>
      <c r="F38" s="3">
        <v>4</v>
      </c>
      <c r="G38" s="58" t="s">
        <v>69</v>
      </c>
      <c r="H38" s="133"/>
      <c r="I38" s="19">
        <f t="shared" si="13"/>
        <v>1</v>
      </c>
      <c r="J38" s="5">
        <f t="shared" si="14"/>
        <v>4</v>
      </c>
      <c r="K38" s="72">
        <f>IF($N$3="GBP",VLOOKUP(G38,'Product List'!B:N,10,FALSE),IF($N$3="EUR",VLOOKUP(G38,'Product List'!B:N,11,FALSE),IF($N$3="USD",VLOOKUP(G38,'Product List'!B:N,12,FALSE))))</f>
        <v>5.04</v>
      </c>
      <c r="L38" s="71">
        <f>SUM(K38*(1-S3))</f>
        <v>0</v>
      </c>
      <c r="M38" s="38">
        <f>VLOOKUP($G38,'Product List'!$B:$H,6,0)</f>
        <v>10</v>
      </c>
      <c r="N38" s="156">
        <f>VLOOKUP($G38,'Product List'!$B:$H,7,0)</f>
        <v>10</v>
      </c>
      <c r="O38" s="175">
        <f t="shared" si="0"/>
        <v>1</v>
      </c>
      <c r="P38" s="162"/>
      <c r="Q38" s="169">
        <f t="shared" si="1"/>
        <v>0</v>
      </c>
      <c r="R38" s="214">
        <f t="shared" si="4"/>
        <v>50.4</v>
      </c>
      <c r="S38" s="115">
        <f t="shared" si="8"/>
        <v>1</v>
      </c>
      <c r="T38" s="3"/>
      <c r="U38" s="250" t="s">
        <v>260</v>
      </c>
      <c r="V38" s="251"/>
      <c r="W38" s="251"/>
      <c r="X38" s="251"/>
      <c r="Y38" s="251"/>
      <c r="Z38" s="251"/>
      <c r="AA38" s="251"/>
      <c r="AB38" s="251"/>
      <c r="AC38" s="251"/>
      <c r="AD38" s="251"/>
      <c r="AE38" s="251"/>
      <c r="AF38" s="3"/>
      <c r="AG38" s="3"/>
      <c r="AH38" s="3"/>
      <c r="AI38" s="3"/>
      <c r="AJ38" s="3"/>
      <c r="AK38" s="3"/>
      <c r="AL38" s="3"/>
      <c r="AM38" s="3"/>
    </row>
    <row r="39" spans="1:39" ht="15" customHeight="1" x14ac:dyDescent="0.4">
      <c r="A39" s="3"/>
      <c r="B39" s="147" t="str">
        <f>VLOOKUP($G39,'Product List'!$B:$H,2,0)</f>
        <v>BER122-201-L1X</v>
      </c>
      <c r="C39" s="148" t="str">
        <f>HYPERLINK(VLOOKUP($G39,'Product List'!$B:$H,3,0),"VIEW")</f>
        <v>VIEW</v>
      </c>
      <c r="D39" s="193" t="str">
        <f>VLOOKUP($G39,'Product List'!$B:$H,4,0)</f>
        <v>RPKE-000-011</v>
      </c>
      <c r="E39" s="45">
        <v>33</v>
      </c>
      <c r="F39" s="3">
        <v>1</v>
      </c>
      <c r="G39" s="61" t="s">
        <v>70</v>
      </c>
      <c r="H39" s="133"/>
      <c r="I39" s="19">
        <f>COUNTIF(G$39:G$40,G39)</f>
        <v>1</v>
      </c>
      <c r="J39" s="5">
        <f>MATCH(G39,G$39:G$40,0)</f>
        <v>1</v>
      </c>
      <c r="K39" s="72">
        <f>IF($N$3="GBP",VLOOKUP(G39,'Product List'!B:N,10,FALSE),IF($N$3="EUR",VLOOKUP(G39,'Product List'!B:N,11,FALSE),IF($N$3="USD",VLOOKUP(G39,'Product List'!B:N,12,FALSE))))</f>
        <v>3.44</v>
      </c>
      <c r="L39" s="71">
        <f>SUM(K39*(1-S3))</f>
        <v>0</v>
      </c>
      <c r="M39" s="38">
        <f>VLOOKUP($G39,'Product List'!$B:$H,6,0)</f>
        <v>5</v>
      </c>
      <c r="N39" s="156">
        <f>VLOOKUP($G39,'Product List'!$B:$H,7,0)</f>
        <v>30</v>
      </c>
      <c r="O39" s="175">
        <f t="shared" si="0"/>
        <v>1</v>
      </c>
      <c r="P39" s="162"/>
      <c r="Q39" s="169">
        <f t="shared" si="1"/>
        <v>0</v>
      </c>
      <c r="R39" s="214">
        <f t="shared" si="4"/>
        <v>103.2</v>
      </c>
      <c r="S39" s="115">
        <f t="shared" si="8"/>
        <v>1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</row>
    <row r="40" spans="1:39" ht="15" customHeight="1" x14ac:dyDescent="0.4">
      <c r="A40" s="3"/>
      <c r="B40" s="147" t="str">
        <f>VLOOKUP($G40,'Product List'!$B:$H,2,0)</f>
        <v>BER130-001-L1X</v>
      </c>
      <c r="C40" s="148" t="str">
        <f>HYPERLINK(VLOOKUP($G40,'Product List'!$B:$H,3,0),"VIEW")</f>
        <v>VIEW</v>
      </c>
      <c r="D40" s="193" t="str">
        <f>VLOOKUP($G40,'Product List'!$B:$H,4,0)</f>
        <v>RPKE-000-012</v>
      </c>
      <c r="E40" s="45">
        <v>34</v>
      </c>
      <c r="F40" s="3">
        <v>2</v>
      </c>
      <c r="G40" s="61" t="s">
        <v>71</v>
      </c>
      <c r="H40" s="133"/>
      <c r="I40" s="19">
        <f>COUNTIF(G$39:G$40,G40)</f>
        <v>1</v>
      </c>
      <c r="J40" s="5">
        <f>MATCH(G40,G$39:G$40,0)</f>
        <v>2</v>
      </c>
      <c r="K40" s="72">
        <f>IF($N$3="GBP",VLOOKUP(G40,'Product List'!B:N,10,FALSE),IF($N$3="EUR",VLOOKUP(G40,'Product List'!B:N,11,FALSE),IF($N$3="USD",VLOOKUP(G40,'Product List'!B:N,12,FALSE))))</f>
        <v>7.14</v>
      </c>
      <c r="L40" s="71">
        <f>SUM(K40*(1-S3))</f>
        <v>0</v>
      </c>
      <c r="M40" s="38">
        <f>VLOOKUP($G40,'Product List'!$B:$H,6,0)</f>
        <v>5</v>
      </c>
      <c r="N40" s="156">
        <f>VLOOKUP($G40,'Product List'!$B:$H,7,0)</f>
        <v>30</v>
      </c>
      <c r="O40" s="175">
        <f t="shared" si="0"/>
        <v>1</v>
      </c>
      <c r="P40" s="162"/>
      <c r="Q40" s="169">
        <f t="shared" si="1"/>
        <v>0</v>
      </c>
      <c r="R40" s="214">
        <f t="shared" si="4"/>
        <v>214.2</v>
      </c>
      <c r="S40" s="115">
        <f t="shared" si="8"/>
        <v>1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</row>
    <row r="41" spans="1:39" ht="15" customHeight="1" x14ac:dyDescent="0.4">
      <c r="A41" s="3"/>
      <c r="B41" s="147" t="str">
        <f>VLOOKUP($G41,'Product List'!$B:$H,2,0)</f>
        <v>BHT0A3-0L5-N00</v>
      </c>
      <c r="C41" s="148" t="str">
        <f>HYPERLINK(VLOOKUP($G41,'Product List'!$B:$H,3,0),"VIEW")</f>
        <v>VIEW</v>
      </c>
      <c r="D41" s="193" t="str">
        <f>VLOOKUP($G41,'Product List'!$B:$H,4,0)</f>
        <v>RPKE-000-015</v>
      </c>
      <c r="E41" s="46">
        <v>35</v>
      </c>
      <c r="F41" s="48">
        <v>1</v>
      </c>
      <c r="G41" s="62" t="s">
        <v>5</v>
      </c>
      <c r="H41" s="133"/>
      <c r="I41" s="19">
        <f>COUNTIF(G$41:G$43,G41)</f>
        <v>3</v>
      </c>
      <c r="J41" s="5">
        <f>MATCH(G41,G$41:G$43,0)</f>
        <v>1</v>
      </c>
      <c r="K41" s="72">
        <f>IF($N$3="GBP",VLOOKUP(G41,'Product List'!B:N,10,FALSE),IF($N$3="EUR",VLOOKUP(G41,'Product List'!B:N,11,FALSE),IF($N$3="USD",VLOOKUP(G41,'Product List'!B:N,12,FALSE))))</f>
        <v>24.92</v>
      </c>
      <c r="L41" s="71">
        <f>SUM(K41*(1-S3))</f>
        <v>0</v>
      </c>
      <c r="M41" s="38">
        <f>VLOOKUP($G41,'Product List'!$B:$H,6,0)</f>
        <v>3</v>
      </c>
      <c r="N41" s="156">
        <f>VLOOKUP($G41,'Product List'!$B:$H,7,0)</f>
        <v>10</v>
      </c>
      <c r="O41" s="175">
        <f t="shared" si="0"/>
        <v>1</v>
      </c>
      <c r="P41" s="162"/>
      <c r="Q41" s="169">
        <f t="shared" si="1"/>
        <v>0</v>
      </c>
      <c r="R41" s="214">
        <f t="shared" si="4"/>
        <v>249.20000000000002</v>
      </c>
      <c r="S41" s="115">
        <f t="shared" si="8"/>
        <v>1</v>
      </c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</row>
    <row r="42" spans="1:39" ht="15" customHeight="1" x14ac:dyDescent="0.4">
      <c r="A42" s="3"/>
      <c r="B42" s="147" t="str">
        <f>VLOOKUP($G42,'Product List'!$B:$H,2,0)</f>
        <v>BHT0A3-0L5-N00</v>
      </c>
      <c r="C42" s="148" t="str">
        <f>HYPERLINK(VLOOKUP($G42,'Product List'!$B:$H,3,0),"VIEW")</f>
        <v>VIEW</v>
      </c>
      <c r="D42" s="193" t="str">
        <f>VLOOKUP($G42,'Product List'!$B:$H,4,0)</f>
        <v>RPKE-000-015</v>
      </c>
      <c r="E42" s="46">
        <v>36</v>
      </c>
      <c r="F42" s="48">
        <v>2</v>
      </c>
      <c r="G42" s="62" t="s">
        <v>5</v>
      </c>
      <c r="H42" s="133"/>
      <c r="I42" s="19">
        <f t="shared" ref="I42:I43" si="15">COUNTIF(G$41:G$43,G42)</f>
        <v>3</v>
      </c>
      <c r="J42" s="5">
        <f t="shared" ref="J42:J43" si="16">MATCH(G42,G$41:G$43,0)</f>
        <v>1</v>
      </c>
      <c r="K42" s="72">
        <f>IF($N$3="GBP",VLOOKUP(G42,'Product List'!B:N,10,FALSE),IF($N$3="EUR",VLOOKUP(G42,'Product List'!B:N,11,FALSE),IF($N$3="USD",VLOOKUP(G42,'Product List'!B:N,12,FALSE))))</f>
        <v>24.92</v>
      </c>
      <c r="L42" s="71">
        <f>SUM(K42*(1-S3))</f>
        <v>0</v>
      </c>
      <c r="M42" s="38">
        <f>VLOOKUP($G42,'Product List'!$B:$H,6,0)</f>
        <v>3</v>
      </c>
      <c r="N42" s="156">
        <f>VLOOKUP($G42,'Product List'!$B:$H,7,0)</f>
        <v>10</v>
      </c>
      <c r="O42" s="175">
        <f t="shared" si="0"/>
        <v>0</v>
      </c>
      <c r="P42" s="162"/>
      <c r="Q42" s="169">
        <f t="shared" si="1"/>
        <v>0</v>
      </c>
      <c r="R42" s="214">
        <f t="shared" si="4"/>
        <v>0</v>
      </c>
      <c r="S42" s="115">
        <f t="shared" si="8"/>
        <v>0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</row>
    <row r="43" spans="1:39" ht="15" customHeight="1" x14ac:dyDescent="0.4">
      <c r="A43" s="3"/>
      <c r="B43" s="147" t="str">
        <f>VLOOKUP($G43,'Product List'!$B:$H,2,0)</f>
        <v>BHT0A3-0L5-N00</v>
      </c>
      <c r="C43" s="148" t="str">
        <f>HYPERLINK(VLOOKUP($G43,'Product List'!$B:$H,3,0),"VIEW")</f>
        <v>VIEW</v>
      </c>
      <c r="D43" s="193" t="str">
        <f>VLOOKUP($G43,'Product List'!$B:$H,4,0)</f>
        <v>RPKE-000-015</v>
      </c>
      <c r="E43" s="46">
        <v>37</v>
      </c>
      <c r="F43" s="48">
        <v>3</v>
      </c>
      <c r="G43" s="62" t="s">
        <v>5</v>
      </c>
      <c r="H43" s="133"/>
      <c r="I43" s="19">
        <f t="shared" si="15"/>
        <v>3</v>
      </c>
      <c r="J43" s="5">
        <f t="shared" si="16"/>
        <v>1</v>
      </c>
      <c r="K43" s="72">
        <f>IF($N$3="GBP",VLOOKUP(G43,'Product List'!B:N,10,FALSE),IF($N$3="EUR",VLOOKUP(G43,'Product List'!B:N,11,FALSE),IF($N$3="USD",VLOOKUP(G43,'Product List'!B:N,12,FALSE))))</f>
        <v>24.92</v>
      </c>
      <c r="L43" s="71">
        <f>SUM(K43*(1-S3))</f>
        <v>0</v>
      </c>
      <c r="M43" s="38">
        <f>VLOOKUP($G43,'Product List'!$B:$H,6,0)</f>
        <v>3</v>
      </c>
      <c r="N43" s="156">
        <f>VLOOKUP($G43,'Product List'!$B:$H,7,0)</f>
        <v>10</v>
      </c>
      <c r="O43" s="175">
        <f t="shared" si="0"/>
        <v>0</v>
      </c>
      <c r="P43" s="162"/>
      <c r="Q43" s="169">
        <f t="shared" si="1"/>
        <v>0</v>
      </c>
      <c r="R43" s="214">
        <f t="shared" si="4"/>
        <v>0</v>
      </c>
      <c r="S43" s="115">
        <f t="shared" si="8"/>
        <v>0</v>
      </c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</row>
    <row r="44" spans="1:39" ht="15" customHeight="1" x14ac:dyDescent="0.4">
      <c r="A44" s="3"/>
      <c r="B44" s="147" t="str">
        <f>VLOOKUP($G44,'Product List'!$B:$H,2,0)</f>
        <v>BMN990-001-700</v>
      </c>
      <c r="C44" s="148" t="str">
        <f>HYPERLINK(VLOOKUP($G44,'Product List'!$B:$H,3,0),"VIEW")</f>
        <v>VIEW</v>
      </c>
      <c r="D44" s="193" t="str">
        <f>VLOOKUP($G44,'Product List'!$B:$H,4,0)</f>
        <v>RPKE-000-016</v>
      </c>
      <c r="E44" s="46">
        <v>38</v>
      </c>
      <c r="F44" s="48">
        <v>1</v>
      </c>
      <c r="G44" s="62" t="s">
        <v>74</v>
      </c>
      <c r="H44" s="133"/>
      <c r="I44" s="19">
        <f>COUNTIF(G$44:G$47,G44)</f>
        <v>2</v>
      </c>
      <c r="J44" s="5">
        <f>MATCH(G44,G$44:G$47,0)</f>
        <v>1</v>
      </c>
      <c r="K44" s="72">
        <f>IF($N$3="GBP",VLOOKUP(G44,'Product List'!B:N,10,FALSE),IF($N$3="EUR",VLOOKUP(G44,'Product List'!B:N,11,FALSE),IF($N$3="USD",VLOOKUP(G44,'Product List'!B:N,12,FALSE))))</f>
        <v>10.73</v>
      </c>
      <c r="L44" s="71">
        <f>SUM(K44*(1-S3))</f>
        <v>0</v>
      </c>
      <c r="M44" s="38">
        <f>VLOOKUP($G44,'Product List'!$B:$H,6,0)</f>
        <v>7</v>
      </c>
      <c r="N44" s="156">
        <f>VLOOKUP($G44,'Product List'!$B:$H,7,0)</f>
        <v>10</v>
      </c>
      <c r="O44" s="175">
        <f t="shared" si="0"/>
        <v>2</v>
      </c>
      <c r="P44" s="162"/>
      <c r="Q44" s="169">
        <f t="shared" si="1"/>
        <v>0</v>
      </c>
      <c r="R44" s="214">
        <f t="shared" si="4"/>
        <v>214.60000000000002</v>
      </c>
      <c r="S44" s="115">
        <f t="shared" si="8"/>
        <v>1</v>
      </c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ht="15" customHeight="1" x14ac:dyDescent="0.4">
      <c r="A45" s="3"/>
      <c r="B45" s="147" t="str">
        <f>VLOOKUP($G45,'Product List'!$B:$H,2,0)</f>
        <v>BMN990-001-700</v>
      </c>
      <c r="C45" s="148" t="str">
        <f>HYPERLINK(VLOOKUP($G45,'Product List'!$B:$H,3,0),"VIEW")</f>
        <v>VIEW</v>
      </c>
      <c r="D45" s="193" t="str">
        <f>VLOOKUP($G45,'Product List'!$B:$H,4,0)</f>
        <v>RPKE-000-016</v>
      </c>
      <c r="E45" s="46">
        <v>39</v>
      </c>
      <c r="F45" s="48">
        <v>2</v>
      </c>
      <c r="G45" s="62" t="s">
        <v>74</v>
      </c>
      <c r="H45" s="133"/>
      <c r="I45" s="19">
        <f t="shared" ref="I45:I47" si="17">COUNTIF(G$44:G$47,G45)</f>
        <v>2</v>
      </c>
      <c r="J45" s="5">
        <f t="shared" ref="J45:J47" si="18">MATCH(G45,G$44:G$47,0)</f>
        <v>1</v>
      </c>
      <c r="K45" s="72">
        <f>IF($N$3="GBP",VLOOKUP(G45,'Product List'!B:N,10,FALSE),IF($N$3="EUR",VLOOKUP(G45,'Product List'!B:N,11,FALSE),IF($N$3="USD",VLOOKUP(G45,'Product List'!B:N,12,FALSE))))</f>
        <v>10.73</v>
      </c>
      <c r="L45" s="71">
        <f>SUM(K45*(1-S3))</f>
        <v>0</v>
      </c>
      <c r="M45" s="38">
        <f>VLOOKUP($G45,'Product List'!$B:$H,6,0)</f>
        <v>7</v>
      </c>
      <c r="N45" s="156">
        <f>VLOOKUP($G45,'Product List'!$B:$H,7,0)</f>
        <v>10</v>
      </c>
      <c r="O45" s="175">
        <f t="shared" si="0"/>
        <v>0</v>
      </c>
      <c r="P45" s="162"/>
      <c r="Q45" s="169">
        <f t="shared" si="1"/>
        <v>0</v>
      </c>
      <c r="R45" s="214">
        <f t="shared" si="4"/>
        <v>0</v>
      </c>
      <c r="S45" s="115">
        <f t="shared" si="8"/>
        <v>0</v>
      </c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ht="15" customHeight="1" x14ac:dyDescent="0.4">
      <c r="A46" s="3"/>
      <c r="B46" s="147" t="str">
        <f>VLOOKUP($G46,'Product List'!$B:$H,2,0)</f>
        <v>BMN740-000-600</v>
      </c>
      <c r="C46" s="148" t="str">
        <f>HYPERLINK(VLOOKUP($G46,'Product List'!$B:$H,3,0),"VIEW")</f>
        <v>VIEW</v>
      </c>
      <c r="D46" s="193" t="str">
        <f>VLOOKUP($G46,'Product List'!$B:$H,4,0)</f>
        <v>RPKE-000-017</v>
      </c>
      <c r="E46" s="46">
        <v>40</v>
      </c>
      <c r="F46" s="48">
        <v>3</v>
      </c>
      <c r="G46" s="62" t="s">
        <v>73</v>
      </c>
      <c r="H46" s="133"/>
      <c r="I46" s="19">
        <f t="shared" si="17"/>
        <v>1</v>
      </c>
      <c r="J46" s="5">
        <f t="shared" si="18"/>
        <v>3</v>
      </c>
      <c r="K46" s="72">
        <f>IF($N$3="GBP",VLOOKUP(G46,'Product List'!B:N,10,FALSE),IF($N$3="EUR",VLOOKUP(G46,'Product List'!B:N,11,FALSE),IF($N$3="USD",VLOOKUP(G46,'Product List'!B:N,12,FALSE))))</f>
        <v>22.53</v>
      </c>
      <c r="L46" s="71">
        <f>SUM(K46*(1-S3))</f>
        <v>0</v>
      </c>
      <c r="M46" s="38">
        <f>VLOOKUP($G46,'Product List'!$B:$H,6,0)</f>
        <v>5</v>
      </c>
      <c r="N46" s="156">
        <f>VLOOKUP($G46,'Product List'!$B:$H,7,0)</f>
        <v>10</v>
      </c>
      <c r="O46" s="175">
        <f t="shared" si="0"/>
        <v>1</v>
      </c>
      <c r="P46" s="162"/>
      <c r="Q46" s="169">
        <f t="shared" si="1"/>
        <v>0</v>
      </c>
      <c r="R46" s="214">
        <f t="shared" si="4"/>
        <v>225.3</v>
      </c>
      <c r="S46" s="115">
        <f t="shared" si="8"/>
        <v>1</v>
      </c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ht="15" customHeight="1" x14ac:dyDescent="0.4">
      <c r="A47" s="3"/>
      <c r="B47" s="147" t="str">
        <f>VLOOKUP($G47,'Product List'!$B:$H,2,0)</f>
        <v>BMN750-000-600</v>
      </c>
      <c r="C47" s="148" t="str">
        <f>HYPERLINK(VLOOKUP($G47,'Product List'!$B:$H,3,0),"VIEW")</f>
        <v>VIEW</v>
      </c>
      <c r="D47" s="193" t="str">
        <f>VLOOKUP($G47,'Product List'!$B:$H,4,0)</f>
        <v>RPKE-000-018</v>
      </c>
      <c r="E47" s="46">
        <v>41</v>
      </c>
      <c r="F47" s="48">
        <v>4</v>
      </c>
      <c r="G47" s="62" t="s">
        <v>72</v>
      </c>
      <c r="H47" s="133"/>
      <c r="I47" s="19">
        <f t="shared" si="17"/>
        <v>1</v>
      </c>
      <c r="J47" s="5">
        <f t="shared" si="18"/>
        <v>4</v>
      </c>
      <c r="K47" s="72">
        <f>IF($N$3="GBP",VLOOKUP(G47,'Product List'!B:N,10,FALSE),IF($N$3="EUR",VLOOKUP(G47,'Product List'!B:N,11,FALSE),IF($N$3="USD",VLOOKUP(G47,'Product List'!B:N,12,FALSE))))</f>
        <v>26.78</v>
      </c>
      <c r="L47" s="71">
        <f>SUM(K47*(1-S3))</f>
        <v>0</v>
      </c>
      <c r="M47" s="38">
        <f>VLOOKUP($G47,'Product List'!$B:$H,6,0)</f>
        <v>5</v>
      </c>
      <c r="N47" s="156">
        <f>VLOOKUP($G47,'Product List'!$B:$H,7,0)</f>
        <v>10</v>
      </c>
      <c r="O47" s="175">
        <f t="shared" si="0"/>
        <v>1</v>
      </c>
      <c r="P47" s="162"/>
      <c r="Q47" s="169">
        <f t="shared" si="1"/>
        <v>0</v>
      </c>
      <c r="R47" s="214">
        <f t="shared" si="4"/>
        <v>267.8</v>
      </c>
      <c r="S47" s="115">
        <f t="shared" si="8"/>
        <v>1</v>
      </c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ht="15" customHeight="1" x14ac:dyDescent="0.4">
      <c r="A48" s="3"/>
      <c r="B48" s="147" t="str">
        <f>VLOOKUP($G48,'Product List'!$B:$H,2,0)</f>
        <v>BHT003-0L5-000</v>
      </c>
      <c r="C48" s="148" t="str">
        <f>HYPERLINK(VLOOKUP($G48,'Product List'!$B:$H,3,0),"VIEW")</f>
        <v>VIEW</v>
      </c>
      <c r="D48" s="193" t="str">
        <f>VLOOKUP($G48,'Product List'!$B:$H,4,0)</f>
        <v>RPKE-000-013</v>
      </c>
      <c r="E48" s="46">
        <v>42</v>
      </c>
      <c r="F48" s="48">
        <v>1</v>
      </c>
      <c r="G48" s="62" t="s">
        <v>131</v>
      </c>
      <c r="H48" s="133"/>
      <c r="I48" s="19">
        <f>COUNTIF(G$48:G$49,G48)</f>
        <v>2</v>
      </c>
      <c r="J48" s="5">
        <f>MATCH(G48,G$48:G$49,0)</f>
        <v>1</v>
      </c>
      <c r="K48" s="72">
        <f>IF($N$3="GBP",VLOOKUP(G48,'Product List'!B:N,10,FALSE),IF($N$3="EUR",VLOOKUP(G48,'Product List'!B:N,11,FALSE),IF($N$3="USD",VLOOKUP(G48,'Product List'!B:N,12,FALSE))))</f>
        <v>14.76</v>
      </c>
      <c r="L48" s="71">
        <f>SUM(K48*(1-S3))</f>
        <v>0</v>
      </c>
      <c r="M48" s="38">
        <f>VLOOKUP($G48,'Product List'!$B:$H,6,0)</f>
        <v>3</v>
      </c>
      <c r="N48" s="156">
        <f>VLOOKUP($G48,'Product List'!$B:$H,7,0)</f>
        <v>10</v>
      </c>
      <c r="O48" s="175">
        <f t="shared" si="0"/>
        <v>1</v>
      </c>
      <c r="P48" s="162"/>
      <c r="Q48" s="169">
        <f t="shared" si="1"/>
        <v>0</v>
      </c>
      <c r="R48" s="214">
        <f t="shared" si="4"/>
        <v>147.6</v>
      </c>
      <c r="S48" s="115">
        <f t="shared" si="8"/>
        <v>1</v>
      </c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ht="15" customHeight="1" x14ac:dyDescent="0.4">
      <c r="A49" s="3"/>
      <c r="B49" s="147" t="str">
        <f>VLOOKUP($G49,'Product List'!$B:$H,2,0)</f>
        <v>BHT003-0L5-000</v>
      </c>
      <c r="C49" s="148" t="str">
        <f>HYPERLINK(VLOOKUP($G49,'Product List'!$B:$H,3,0),"VIEW")</f>
        <v>VIEW</v>
      </c>
      <c r="D49" s="193" t="str">
        <f>VLOOKUP($G49,'Product List'!$B:$H,4,0)</f>
        <v>RPKE-000-013</v>
      </c>
      <c r="E49" s="46">
        <v>43</v>
      </c>
      <c r="F49" s="48">
        <v>2</v>
      </c>
      <c r="G49" s="62" t="s">
        <v>131</v>
      </c>
      <c r="H49" s="133"/>
      <c r="I49" s="19">
        <f>COUNTIF(G$48:G$49,G49)</f>
        <v>2</v>
      </c>
      <c r="J49" s="5">
        <f t="shared" ref="J49" si="19">MATCH(G49,G$48:G$49,0)</f>
        <v>1</v>
      </c>
      <c r="K49" s="72">
        <f>IF($N$3="GBP",VLOOKUP(G49,'Product List'!B:N,10,FALSE),IF($N$3="EUR",VLOOKUP(G49,'Product List'!B:N,11,FALSE),IF($N$3="USD",VLOOKUP(G49,'Product List'!B:N,12,FALSE))))</f>
        <v>14.76</v>
      </c>
      <c r="L49" s="71">
        <f>SUM(K49*(1-S3))</f>
        <v>0</v>
      </c>
      <c r="M49" s="38">
        <f>VLOOKUP($G49,'Product List'!$B:$H,6,0)</f>
        <v>3</v>
      </c>
      <c r="N49" s="156">
        <f>VLOOKUP($G49,'Product List'!$B:$H,7,0)</f>
        <v>10</v>
      </c>
      <c r="O49" s="175">
        <f t="shared" si="0"/>
        <v>0</v>
      </c>
      <c r="P49" s="162"/>
      <c r="Q49" s="169">
        <f t="shared" si="1"/>
        <v>0</v>
      </c>
      <c r="R49" s="214">
        <f t="shared" si="4"/>
        <v>0</v>
      </c>
      <c r="S49" s="115">
        <f t="shared" si="8"/>
        <v>0</v>
      </c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ht="15" customHeight="1" x14ac:dyDescent="0.4">
      <c r="A50" s="3"/>
      <c r="B50" s="150" t="str">
        <f>VLOOKUP($G50,'Product List'!$B:$H,2,0)</f>
        <v>BPB003-004-000</v>
      </c>
      <c r="C50" s="149" t="str">
        <f>HYPERLINK(VLOOKUP($G50,'Product List'!$B:$H,3,0),"VIEW")</f>
        <v>VIEW</v>
      </c>
      <c r="D50" s="193" t="str">
        <f>VLOOKUP($G50,'Product List'!$B:$H,4,0)</f>
        <v>RPKE-000-040</v>
      </c>
      <c r="E50" s="47">
        <v>44</v>
      </c>
      <c r="F50" s="3">
        <v>1</v>
      </c>
      <c r="G50" s="63" t="s">
        <v>87</v>
      </c>
      <c r="H50" s="133"/>
      <c r="I50" s="19">
        <f>COUNTIF(G$50:G$53,G50)</f>
        <v>1</v>
      </c>
      <c r="J50" s="5">
        <f>MATCH(G50,G$50:G$53,0)</f>
        <v>1</v>
      </c>
      <c r="K50" s="73">
        <f>IF($N$3="GBP",VLOOKUP(G50,'Product List'!B:N,10,FALSE),IF($N$3="EUR",VLOOKUP(G50,'Product List'!B:N,11,FALSE),IF($N$3="USD",VLOOKUP(G50,'Product List'!B:N,12,FALSE))))</f>
        <v>104.49</v>
      </c>
      <c r="L50" s="68">
        <f>SUM(K50*(1-S3))</f>
        <v>0</v>
      </c>
      <c r="M50" s="38">
        <f>VLOOKUP($G50,'Product List'!$B:$H,6,0)</f>
        <v>2</v>
      </c>
      <c r="N50" s="157">
        <f>VLOOKUP($G50,'Product List'!$B:$H,7,0)</f>
        <v>1</v>
      </c>
      <c r="O50" s="176">
        <f t="shared" si="0"/>
        <v>2</v>
      </c>
      <c r="P50" s="163"/>
      <c r="Q50" s="170">
        <f t="shared" si="1"/>
        <v>0</v>
      </c>
      <c r="R50" s="216">
        <f t="shared" si="4"/>
        <v>208.98</v>
      </c>
      <c r="S50" s="116">
        <f t="shared" si="8"/>
        <v>1</v>
      </c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</row>
    <row r="51" spans="1:39" ht="15" customHeight="1" x14ac:dyDescent="0.4">
      <c r="A51" s="3"/>
      <c r="B51" s="150" t="str">
        <f>VLOOKUP($G51,'Product List'!$B:$H,2,0)</f>
        <v>AFZ061-131-100</v>
      </c>
      <c r="C51" s="149" t="str">
        <f>HYPERLINK(VLOOKUP($G51,'Product List'!$B:$H,3,0),"VIEW")</f>
        <v>VIEW</v>
      </c>
      <c r="D51" s="193" t="str">
        <f>VLOOKUP($G51,'Product List'!$B:$H,4,0)</f>
        <v>RPKE-000-042</v>
      </c>
      <c r="E51" s="22">
        <v>45</v>
      </c>
      <c r="F51" s="3">
        <v>2</v>
      </c>
      <c r="G51" s="60" t="s">
        <v>14</v>
      </c>
      <c r="H51" s="133"/>
      <c r="I51" s="19">
        <f t="shared" ref="I51:I53" si="20">COUNTIF(G$50:G$53,G51)</f>
        <v>1</v>
      </c>
      <c r="J51" s="5">
        <f t="shared" ref="J51:J53" si="21">MATCH(G51,G$50:G$53,0)</f>
        <v>2</v>
      </c>
      <c r="K51" s="73">
        <f>IF($N$3="GBP",VLOOKUP(G51,'Product List'!B:N,10,FALSE),IF($N$3="EUR",VLOOKUP(G51,'Product List'!B:N,11,FALSE),IF($N$3="USD",VLOOKUP(G51,'Product List'!B:N,12,FALSE))))</f>
        <v>39.86</v>
      </c>
      <c r="L51" s="68">
        <f>SUM(K51*(1-S3))</f>
        <v>0</v>
      </c>
      <c r="M51" s="38">
        <f>VLOOKUP($G51,'Product List'!$B:$H,6,0)</f>
        <v>2</v>
      </c>
      <c r="N51" s="157">
        <f>VLOOKUP($G51,'Product List'!$B:$H,7,0)</f>
        <v>1</v>
      </c>
      <c r="O51" s="176">
        <f t="shared" si="0"/>
        <v>2</v>
      </c>
      <c r="P51" s="163"/>
      <c r="Q51" s="170">
        <f t="shared" si="1"/>
        <v>0</v>
      </c>
      <c r="R51" s="216">
        <f t="shared" si="4"/>
        <v>79.72</v>
      </c>
      <c r="S51" s="116">
        <f t="shared" si="8"/>
        <v>1</v>
      </c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</row>
    <row r="52" spans="1:39" ht="15" customHeight="1" x14ac:dyDescent="0.4">
      <c r="A52" s="3"/>
      <c r="B52" s="150" t="str">
        <f>VLOOKUP($G52,'Product List'!$B:$H,2,0)</f>
        <v>AFZ101-131-100</v>
      </c>
      <c r="C52" s="149" t="str">
        <f>HYPERLINK(VLOOKUP($G52,'Product List'!$B:$H,3,0),"VIEW")</f>
        <v>VIEW</v>
      </c>
      <c r="D52" s="193" t="str">
        <f>VLOOKUP($G52,'Product List'!$B:$H,4,0)</f>
        <v>RPKE-000-043</v>
      </c>
      <c r="E52" s="22">
        <v>46</v>
      </c>
      <c r="F52" s="3">
        <v>3</v>
      </c>
      <c r="G52" s="60" t="s">
        <v>15</v>
      </c>
      <c r="H52" s="133"/>
      <c r="I52" s="19">
        <f t="shared" si="20"/>
        <v>1</v>
      </c>
      <c r="J52" s="5">
        <f t="shared" si="21"/>
        <v>3</v>
      </c>
      <c r="K52" s="73">
        <f>IF($N$3="GBP",VLOOKUP(G52,'Product List'!B:N,10,FALSE),IF($N$3="EUR",VLOOKUP(G52,'Product List'!B:N,11,FALSE),IF($N$3="USD",VLOOKUP(G52,'Product List'!B:N,12,FALSE))))</f>
        <v>43.89</v>
      </c>
      <c r="L52" s="68">
        <f>SUM(K52*(1-S3))</f>
        <v>0</v>
      </c>
      <c r="M52" s="38">
        <f>VLOOKUP($G52,'Product List'!$B:$H,6,0)</f>
        <v>2</v>
      </c>
      <c r="N52" s="157">
        <f>VLOOKUP($G52,'Product List'!$B:$H,7,0)</f>
        <v>1</v>
      </c>
      <c r="O52" s="176">
        <f t="shared" si="0"/>
        <v>2</v>
      </c>
      <c r="P52" s="163"/>
      <c r="Q52" s="170">
        <f t="shared" si="1"/>
        <v>0</v>
      </c>
      <c r="R52" s="216">
        <f t="shared" si="4"/>
        <v>87.78</v>
      </c>
      <c r="S52" s="116">
        <f t="shared" si="8"/>
        <v>1</v>
      </c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</row>
    <row r="53" spans="1:39" ht="15" customHeight="1" thickBot="1" x14ac:dyDescent="0.45">
      <c r="A53" s="3"/>
      <c r="B53" s="151" t="str">
        <f>VLOOKUP($G53,'Product List'!$B:$H,2,0)</f>
        <v>AJA242-560-800</v>
      </c>
      <c r="C53" s="182" t="str">
        <f>HYPERLINK(VLOOKUP($G53,'Product List'!$B:$H,3,0),"VIEW")</f>
        <v>VIEW</v>
      </c>
      <c r="D53" s="194" t="str">
        <f>VLOOKUP($G53,'Product List'!$B:$H,4,0)</f>
        <v>RPKE-000-044</v>
      </c>
      <c r="E53" s="117">
        <v>47</v>
      </c>
      <c r="F53" s="7">
        <v>4</v>
      </c>
      <c r="G53" s="118" t="s">
        <v>16</v>
      </c>
      <c r="H53" s="134"/>
      <c r="I53" s="119">
        <f t="shared" si="20"/>
        <v>1</v>
      </c>
      <c r="J53" s="120">
        <f t="shared" si="21"/>
        <v>4</v>
      </c>
      <c r="K53" s="121">
        <f>IF($N$3="GBP",VLOOKUP(G53,'Product List'!B:N,10,FALSE),IF($N$3="EUR",VLOOKUP(G53,'Product List'!B:N,11,FALSE),IF($N$3="USD",VLOOKUP(G53,'Product List'!B:N,12,FALSE))))</f>
        <v>80.02</v>
      </c>
      <c r="L53" s="122">
        <f>SUM(K53*(1-S3))</f>
        <v>0</v>
      </c>
      <c r="M53" s="123">
        <f>VLOOKUP($G53,'Product List'!$B:$H,6,0)</f>
        <v>1</v>
      </c>
      <c r="N53" s="158">
        <f>VLOOKUP($G53,'Product List'!$B:$H,7,0)</f>
        <v>1</v>
      </c>
      <c r="O53" s="183">
        <f t="shared" si="0"/>
        <v>1</v>
      </c>
      <c r="P53" s="164"/>
      <c r="Q53" s="171">
        <f t="shared" si="1"/>
        <v>0</v>
      </c>
      <c r="R53" s="217">
        <f t="shared" si="4"/>
        <v>80.02</v>
      </c>
      <c r="S53" s="124">
        <f t="shared" si="8"/>
        <v>1</v>
      </c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</row>
    <row r="54" spans="1:39" ht="15" customHeight="1" x14ac:dyDescent="0.4">
      <c r="A54" s="3"/>
      <c r="D54" s="19"/>
      <c r="E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</row>
    <row r="55" spans="1:39" x14ac:dyDescent="0.4">
      <c r="A55" s="3"/>
      <c r="D55" s="19"/>
      <c r="E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2" t="s">
        <v>49</v>
      </c>
      <c r="R55" s="2" t="s">
        <v>55</v>
      </c>
      <c r="S55" s="2" t="s">
        <v>54</v>
      </c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</row>
    <row r="56" spans="1:39" ht="15" customHeight="1" x14ac:dyDescent="0.4">
      <c r="A56" s="3"/>
      <c r="D56" s="19"/>
      <c r="E56" s="3"/>
      <c r="G56" s="3"/>
      <c r="H56" s="3"/>
      <c r="I56" s="3"/>
      <c r="J56" s="3"/>
      <c r="K56" s="3"/>
      <c r="L56" s="3"/>
      <c r="M56" s="3"/>
      <c r="N56" s="3"/>
      <c r="O56" s="3"/>
      <c r="P56" s="37" t="s">
        <v>17</v>
      </c>
      <c r="Q56" s="33">
        <f>SUM(Q7:Q53)</f>
        <v>0</v>
      </c>
      <c r="R56" s="51">
        <f>SUM(R7:R53)</f>
        <v>5035.22</v>
      </c>
      <c r="S56" s="10">
        <f>IFERROR((R56-Q56)/R56,0)</f>
        <v>1</v>
      </c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</row>
    <row r="57" spans="1:39" ht="15" customHeight="1" x14ac:dyDescent="0.4">
      <c r="A57" s="3"/>
      <c r="D57" s="19"/>
      <c r="E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</row>
    <row r="58" spans="1:39" ht="15" customHeight="1" x14ac:dyDescent="0.4">
      <c r="A58" s="3"/>
      <c r="D58" s="19"/>
      <c r="E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</row>
    <row r="59" spans="1:39" ht="15" customHeight="1" x14ac:dyDescent="0.4">
      <c r="A59" s="3"/>
      <c r="D59" s="19"/>
      <c r="E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39" x14ac:dyDescent="0.4">
      <c r="A60" s="3"/>
      <c r="D60" s="19"/>
      <c r="E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</row>
    <row r="61" spans="1:39" ht="15" customHeight="1" x14ac:dyDescent="0.4">
      <c r="A61" s="3"/>
      <c r="D61" s="19"/>
      <c r="E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</row>
    <row r="62" spans="1:39" ht="15" customHeight="1" x14ac:dyDescent="0.4">
      <c r="A62" s="3"/>
      <c r="D62" s="19"/>
      <c r="E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</row>
    <row r="63" spans="1:39" ht="15" customHeight="1" x14ac:dyDescent="0.4">
      <c r="B63"/>
      <c r="C63"/>
      <c r="D63"/>
    </row>
    <row r="64" spans="1:39" x14ac:dyDescent="0.4">
      <c r="B64"/>
      <c r="C64"/>
      <c r="D64"/>
    </row>
    <row r="65" spans="2:10" ht="15" customHeight="1" x14ac:dyDescent="0.4">
      <c r="B65"/>
      <c r="C65"/>
      <c r="D65"/>
    </row>
    <row r="66" spans="2:10" ht="15" customHeight="1" x14ac:dyDescent="0.4">
      <c r="B66"/>
      <c r="C66"/>
      <c r="D66"/>
      <c r="F66"/>
      <c r="I66"/>
      <c r="J66"/>
    </row>
    <row r="67" spans="2:10" ht="15" customHeight="1" x14ac:dyDescent="0.4">
      <c r="B67"/>
      <c r="C67"/>
      <c r="D67"/>
      <c r="F67"/>
      <c r="I67"/>
      <c r="J67"/>
    </row>
    <row r="68" spans="2:10" ht="15" customHeight="1" x14ac:dyDescent="0.4">
      <c r="B68"/>
      <c r="C68"/>
      <c r="D68"/>
      <c r="F68"/>
      <c r="I68"/>
      <c r="J68"/>
    </row>
    <row r="69" spans="2:10" ht="15" customHeight="1" x14ac:dyDescent="0.4">
      <c r="B69"/>
      <c r="C69"/>
      <c r="D69"/>
      <c r="F69"/>
      <c r="I69"/>
      <c r="J69"/>
    </row>
    <row r="70" spans="2:10" ht="15" customHeight="1" x14ac:dyDescent="0.4">
      <c r="B70"/>
      <c r="C70"/>
      <c r="D70"/>
      <c r="F70"/>
      <c r="I70"/>
      <c r="J70"/>
    </row>
    <row r="71" spans="2:10" ht="15" customHeight="1" x14ac:dyDescent="0.4">
      <c r="B71"/>
      <c r="C71"/>
      <c r="D71"/>
      <c r="F71"/>
      <c r="I71"/>
      <c r="J71"/>
    </row>
    <row r="72" spans="2:10" ht="15" customHeight="1" x14ac:dyDescent="0.4">
      <c r="B72"/>
      <c r="C72"/>
      <c r="D72"/>
      <c r="F72"/>
      <c r="I72"/>
      <c r="J72"/>
    </row>
    <row r="73" spans="2:10" ht="15" customHeight="1" x14ac:dyDescent="0.4">
      <c r="B73"/>
      <c r="C73"/>
      <c r="D73"/>
      <c r="F73"/>
      <c r="I73"/>
      <c r="J73"/>
    </row>
    <row r="74" spans="2:10" ht="15" customHeight="1" x14ac:dyDescent="0.4">
      <c r="B74"/>
      <c r="C74"/>
      <c r="D74"/>
      <c r="F74"/>
      <c r="I74"/>
      <c r="J74"/>
    </row>
    <row r="75" spans="2:10" x14ac:dyDescent="0.4">
      <c r="B75"/>
      <c r="C75"/>
      <c r="D75"/>
      <c r="F75"/>
      <c r="I75"/>
      <c r="J75"/>
    </row>
    <row r="76" spans="2:10" x14ac:dyDescent="0.4">
      <c r="B76"/>
      <c r="C76"/>
      <c r="D76"/>
      <c r="F76"/>
      <c r="I76"/>
      <c r="J76"/>
    </row>
    <row r="77" spans="2:10" x14ac:dyDescent="0.4">
      <c r="B77"/>
      <c r="C77"/>
      <c r="D77"/>
      <c r="F77"/>
      <c r="I77"/>
      <c r="J77"/>
    </row>
    <row r="78" spans="2:10" x14ac:dyDescent="0.4">
      <c r="B78"/>
      <c r="C78"/>
      <c r="D78"/>
      <c r="F78"/>
      <c r="I78"/>
      <c r="J78"/>
    </row>
    <row r="79" spans="2:10" x14ac:dyDescent="0.4">
      <c r="B79"/>
      <c r="C79"/>
      <c r="D79"/>
      <c r="F79"/>
      <c r="I79"/>
      <c r="J79"/>
    </row>
    <row r="80" spans="2:10" x14ac:dyDescent="0.4">
      <c r="B80"/>
      <c r="C80"/>
      <c r="D80"/>
      <c r="F80"/>
      <c r="I80"/>
      <c r="J80"/>
    </row>
    <row r="81" customFormat="1" x14ac:dyDescent="0.4"/>
    <row r="82" customFormat="1" x14ac:dyDescent="0.4"/>
    <row r="83" customFormat="1" x14ac:dyDescent="0.4"/>
    <row r="84" customFormat="1" x14ac:dyDescent="0.4"/>
    <row r="85" customFormat="1" x14ac:dyDescent="0.4"/>
    <row r="86" customFormat="1" x14ac:dyDescent="0.4"/>
    <row r="87" customFormat="1" x14ac:dyDescent="0.4"/>
    <row r="88" customFormat="1" x14ac:dyDescent="0.4"/>
    <row r="89" customFormat="1" x14ac:dyDescent="0.4"/>
    <row r="90" customFormat="1" x14ac:dyDescent="0.4"/>
    <row r="91" customFormat="1" x14ac:dyDescent="0.4"/>
    <row r="92" customFormat="1" x14ac:dyDescent="0.4"/>
    <row r="93" customFormat="1" x14ac:dyDescent="0.4"/>
    <row r="94" customFormat="1" x14ac:dyDescent="0.4"/>
    <row r="95" customFormat="1" x14ac:dyDescent="0.4"/>
    <row r="96" customFormat="1" x14ac:dyDescent="0.4"/>
    <row r="97" spans="2:10" customFormat="1" x14ac:dyDescent="0.4"/>
    <row r="98" spans="2:10" x14ac:dyDescent="0.4">
      <c r="B98"/>
      <c r="C98"/>
      <c r="D98"/>
      <c r="J98"/>
    </row>
    <row r="99" spans="2:10" x14ac:dyDescent="0.4">
      <c r="B99"/>
      <c r="C99"/>
      <c r="D99"/>
      <c r="J99"/>
    </row>
    <row r="100" spans="2:10" x14ac:dyDescent="0.4">
      <c r="B100"/>
      <c r="C100"/>
      <c r="D100"/>
      <c r="I100" s="24"/>
      <c r="J100"/>
    </row>
    <row r="101" spans="2:10" x14ac:dyDescent="0.4">
      <c r="B101"/>
      <c r="C101"/>
      <c r="D101"/>
      <c r="I101" s="24"/>
      <c r="J101"/>
    </row>
    <row r="102" spans="2:10" x14ac:dyDescent="0.4">
      <c r="B102"/>
      <c r="C102"/>
      <c r="D102"/>
      <c r="I102" s="25"/>
      <c r="J102"/>
    </row>
    <row r="103" spans="2:10" x14ac:dyDescent="0.4">
      <c r="B103"/>
      <c r="C103"/>
      <c r="D103"/>
      <c r="I103" s="25"/>
      <c r="J103"/>
    </row>
    <row r="104" spans="2:10" x14ac:dyDescent="0.4">
      <c r="B104"/>
      <c r="C104"/>
      <c r="D104"/>
      <c r="I104" s="25"/>
      <c r="J104"/>
    </row>
    <row r="105" spans="2:10" ht="15" customHeight="1" x14ac:dyDescent="0.4">
      <c r="B105"/>
      <c r="C105"/>
      <c r="D105"/>
      <c r="I105" s="25"/>
      <c r="J105"/>
    </row>
    <row r="106" spans="2:10" ht="15" customHeight="1" x14ac:dyDescent="0.4">
      <c r="B106"/>
      <c r="C106"/>
      <c r="D106"/>
      <c r="I106" s="25"/>
      <c r="J106"/>
    </row>
    <row r="107" spans="2:10" ht="15" customHeight="1" x14ac:dyDescent="0.4">
      <c r="B107"/>
      <c r="C107"/>
      <c r="D107"/>
      <c r="I107" s="24"/>
      <c r="J107"/>
    </row>
    <row r="108" spans="2:10" ht="15" customHeight="1" x14ac:dyDescent="0.4">
      <c r="B108"/>
      <c r="C108"/>
      <c r="D108"/>
      <c r="I108" s="24"/>
      <c r="J108"/>
    </row>
    <row r="109" spans="2:10" ht="15" customHeight="1" x14ac:dyDescent="0.4">
      <c r="B109"/>
      <c r="C109"/>
      <c r="D109"/>
      <c r="I109" s="24"/>
      <c r="J109"/>
    </row>
    <row r="110" spans="2:10" ht="15" customHeight="1" x14ac:dyDescent="0.4">
      <c r="B110"/>
      <c r="C110"/>
      <c r="D110"/>
      <c r="I110" s="24"/>
      <c r="J110"/>
    </row>
    <row r="111" spans="2:10" ht="15" customHeight="1" x14ac:dyDescent="0.4">
      <c r="B111"/>
      <c r="C111"/>
      <c r="D111"/>
      <c r="I111" s="26"/>
      <c r="J111"/>
    </row>
    <row r="112" spans="2:10" ht="15" customHeight="1" x14ac:dyDescent="0.4">
      <c r="B112"/>
      <c r="C112"/>
      <c r="D112"/>
      <c r="I112" s="27"/>
      <c r="J112"/>
    </row>
    <row r="113" spans="2:10" ht="15" customHeight="1" x14ac:dyDescent="0.4">
      <c r="B113"/>
      <c r="C113"/>
      <c r="D113"/>
      <c r="I113" s="25"/>
      <c r="J113"/>
    </row>
    <row r="114" spans="2:10" ht="15" customHeight="1" x14ac:dyDescent="0.4">
      <c r="B114"/>
      <c r="C114"/>
      <c r="D114"/>
      <c r="I114" s="25"/>
      <c r="J114"/>
    </row>
    <row r="115" spans="2:10" x14ac:dyDescent="0.4">
      <c r="B115"/>
      <c r="C115"/>
      <c r="D115"/>
      <c r="I115" s="25"/>
      <c r="J115"/>
    </row>
    <row r="116" spans="2:10" ht="15" customHeight="1" x14ac:dyDescent="0.4">
      <c r="B116"/>
      <c r="C116"/>
      <c r="D116"/>
      <c r="I116" s="24"/>
      <c r="J116"/>
    </row>
    <row r="117" spans="2:10" x14ac:dyDescent="0.4">
      <c r="B117"/>
      <c r="C117"/>
      <c r="D117"/>
      <c r="I117" s="25"/>
      <c r="J117"/>
    </row>
    <row r="118" spans="2:10" ht="15" customHeight="1" x14ac:dyDescent="0.4">
      <c r="B118"/>
      <c r="C118"/>
      <c r="D118"/>
      <c r="I118" s="25"/>
      <c r="J118"/>
    </row>
    <row r="119" spans="2:10" ht="15" customHeight="1" x14ac:dyDescent="0.4">
      <c r="I119" s="28"/>
      <c r="J119"/>
    </row>
    <row r="120" spans="2:10" ht="15" customHeight="1" x14ac:dyDescent="0.4">
      <c r="I120" s="29"/>
      <c r="J120"/>
    </row>
    <row r="121" spans="2:10" ht="15" customHeight="1" x14ac:dyDescent="0.4">
      <c r="I121" s="29"/>
      <c r="J121"/>
    </row>
    <row r="122" spans="2:10" ht="15" customHeight="1" x14ac:dyDescent="0.4">
      <c r="I122" s="29"/>
      <c r="J122"/>
    </row>
    <row r="123" spans="2:10" ht="15" customHeight="1" x14ac:dyDescent="0.4">
      <c r="I123" s="28"/>
      <c r="J123"/>
    </row>
    <row r="124" spans="2:10" ht="15" customHeight="1" x14ac:dyDescent="0.4">
      <c r="I124" s="25"/>
      <c r="J124"/>
    </row>
    <row r="125" spans="2:10" x14ac:dyDescent="0.4">
      <c r="I125" s="24"/>
      <c r="J125"/>
    </row>
    <row r="126" spans="2:10" ht="15" customHeight="1" x14ac:dyDescent="0.4">
      <c r="I126" s="24"/>
      <c r="J126"/>
    </row>
    <row r="127" spans="2:10" ht="15" customHeight="1" x14ac:dyDescent="0.4">
      <c r="I127" s="24"/>
      <c r="J127"/>
    </row>
    <row r="128" spans="2:10" ht="15" customHeight="1" x14ac:dyDescent="0.4">
      <c r="I128" s="24"/>
      <c r="J128"/>
    </row>
    <row r="129" spans="2:10" x14ac:dyDescent="0.4">
      <c r="I129" s="26"/>
      <c r="J129"/>
    </row>
    <row r="130" spans="2:10" ht="15" customHeight="1" x14ac:dyDescent="0.4">
      <c r="B130"/>
      <c r="C130"/>
      <c r="D130"/>
      <c r="F130"/>
      <c r="I130" s="27"/>
      <c r="J130"/>
    </row>
    <row r="131" spans="2:10" ht="15" customHeight="1" x14ac:dyDescent="0.4">
      <c r="B131"/>
      <c r="C131"/>
      <c r="D131"/>
      <c r="F131"/>
      <c r="I131" s="25"/>
      <c r="J131"/>
    </row>
    <row r="132" spans="2:10" ht="15" customHeight="1" x14ac:dyDescent="0.4">
      <c r="B132"/>
      <c r="C132"/>
      <c r="D132"/>
      <c r="F132"/>
      <c r="I132" s="25"/>
      <c r="J132"/>
    </row>
    <row r="133" spans="2:10" ht="15" customHeight="1" x14ac:dyDescent="0.4">
      <c r="B133"/>
      <c r="C133"/>
      <c r="D133"/>
      <c r="F133"/>
      <c r="I133" s="25"/>
      <c r="J133"/>
    </row>
    <row r="134" spans="2:10" x14ac:dyDescent="0.4">
      <c r="B134"/>
      <c r="C134"/>
      <c r="D134"/>
      <c r="F134"/>
      <c r="I134" s="24"/>
      <c r="J134"/>
    </row>
    <row r="135" spans="2:10" ht="15" customHeight="1" x14ac:dyDescent="0.4">
      <c r="B135"/>
      <c r="C135"/>
      <c r="D135"/>
      <c r="F135"/>
      <c r="I135" s="25"/>
      <c r="J135"/>
    </row>
    <row r="136" spans="2:10" ht="15" customHeight="1" x14ac:dyDescent="0.4">
      <c r="B136"/>
      <c r="C136"/>
      <c r="D136"/>
      <c r="F136"/>
      <c r="I136" s="25"/>
      <c r="J136"/>
    </row>
    <row r="137" spans="2:10" ht="15" customHeight="1" x14ac:dyDescent="0.4">
      <c r="B137"/>
      <c r="C137"/>
      <c r="D137"/>
      <c r="F137"/>
      <c r="I137" s="28"/>
      <c r="J137"/>
    </row>
    <row r="138" spans="2:10" x14ac:dyDescent="0.4">
      <c r="B138"/>
      <c r="C138"/>
      <c r="D138"/>
      <c r="F138"/>
      <c r="I138" s="29"/>
      <c r="J138"/>
    </row>
    <row r="139" spans="2:10" ht="15" customHeight="1" x14ac:dyDescent="0.4">
      <c r="B139"/>
      <c r="C139"/>
      <c r="D139"/>
      <c r="F139"/>
      <c r="I139" s="29"/>
      <c r="J139"/>
    </row>
    <row r="140" spans="2:10" ht="15" customHeight="1" x14ac:dyDescent="0.4">
      <c r="B140"/>
      <c r="C140"/>
      <c r="D140"/>
      <c r="F140"/>
      <c r="I140" s="29"/>
      <c r="J140"/>
    </row>
    <row r="141" spans="2:10" ht="15" customHeight="1" x14ac:dyDescent="0.4">
      <c r="B141"/>
      <c r="C141"/>
      <c r="D141"/>
      <c r="F141"/>
      <c r="I141" s="25"/>
      <c r="J141"/>
    </row>
    <row r="142" spans="2:10" ht="15" customHeight="1" x14ac:dyDescent="0.4">
      <c r="B142"/>
      <c r="C142"/>
      <c r="D142"/>
      <c r="F142"/>
      <c r="I142" s="24"/>
      <c r="J142"/>
    </row>
    <row r="143" spans="2:10" ht="15" customHeight="1" x14ac:dyDescent="0.4">
      <c r="B143"/>
      <c r="C143"/>
      <c r="D143"/>
      <c r="F143"/>
      <c r="I143" s="24"/>
      <c r="J143"/>
    </row>
    <row r="144" spans="2:10" ht="15" customHeight="1" x14ac:dyDescent="0.4">
      <c r="B144"/>
      <c r="C144"/>
      <c r="D144"/>
      <c r="F144"/>
      <c r="I144" s="24"/>
      <c r="J144"/>
    </row>
    <row r="145" spans="9:9" customFormat="1" ht="15" customHeight="1" x14ac:dyDescent="0.4">
      <c r="I145" s="24"/>
    </row>
    <row r="146" spans="9:9" customFormat="1" ht="15" customHeight="1" x14ac:dyDescent="0.4">
      <c r="I146" s="26"/>
    </row>
    <row r="147" spans="9:9" customFormat="1" ht="15" customHeight="1" x14ac:dyDescent="0.4">
      <c r="I147" s="27"/>
    </row>
    <row r="148" spans="9:9" customFormat="1" ht="15" customHeight="1" x14ac:dyDescent="0.4">
      <c r="I148" s="25"/>
    </row>
    <row r="149" spans="9:9" customFormat="1" ht="15" customHeight="1" x14ac:dyDescent="0.4">
      <c r="I149" s="25"/>
    </row>
    <row r="150" spans="9:9" customFormat="1" ht="15" customHeight="1" x14ac:dyDescent="0.4">
      <c r="I150" s="25"/>
    </row>
    <row r="151" spans="9:9" customFormat="1" x14ac:dyDescent="0.4">
      <c r="I151" s="24"/>
    </row>
    <row r="152" spans="9:9" customFormat="1" x14ac:dyDescent="0.4">
      <c r="I152" s="25"/>
    </row>
    <row r="153" spans="9:9" customFormat="1" x14ac:dyDescent="0.4">
      <c r="I153" s="25"/>
    </row>
    <row r="154" spans="9:9" customFormat="1" x14ac:dyDescent="0.4">
      <c r="I154" s="28"/>
    </row>
    <row r="155" spans="9:9" customFormat="1" x14ac:dyDescent="0.4">
      <c r="I155" s="29"/>
    </row>
    <row r="156" spans="9:9" customFormat="1" x14ac:dyDescent="0.4">
      <c r="I156" s="29"/>
    </row>
    <row r="157" spans="9:9" customFormat="1" x14ac:dyDescent="0.4">
      <c r="I157" s="29"/>
    </row>
    <row r="158" spans="9:9" customFormat="1" x14ac:dyDescent="0.4">
      <c r="I158" s="28"/>
    </row>
    <row r="159" spans="9:9" customFormat="1" x14ac:dyDescent="0.4">
      <c r="I159" s="25"/>
    </row>
    <row r="160" spans="9:9" customFormat="1" x14ac:dyDescent="0.4">
      <c r="I160" s="24"/>
    </row>
    <row r="161" spans="9:9" customFormat="1" x14ac:dyDescent="0.4">
      <c r="I161" s="24"/>
    </row>
    <row r="162" spans="9:9" customFormat="1" x14ac:dyDescent="0.4">
      <c r="I162" s="24"/>
    </row>
    <row r="163" spans="9:9" customFormat="1" x14ac:dyDescent="0.4">
      <c r="I163" s="24"/>
    </row>
    <row r="164" spans="9:9" customFormat="1" x14ac:dyDescent="0.4">
      <c r="I164" s="26"/>
    </row>
    <row r="165" spans="9:9" customFormat="1" x14ac:dyDescent="0.4">
      <c r="I165" s="27"/>
    </row>
    <row r="166" spans="9:9" customFormat="1" x14ac:dyDescent="0.4">
      <c r="I166" s="25"/>
    </row>
    <row r="167" spans="9:9" customFormat="1" x14ac:dyDescent="0.4">
      <c r="I167" s="25"/>
    </row>
    <row r="168" spans="9:9" customFormat="1" x14ac:dyDescent="0.4">
      <c r="I168" s="25"/>
    </row>
    <row r="169" spans="9:9" customFormat="1" x14ac:dyDescent="0.4">
      <c r="I169" s="24"/>
    </row>
    <row r="170" spans="9:9" customFormat="1" x14ac:dyDescent="0.4">
      <c r="I170" s="25"/>
    </row>
    <row r="171" spans="9:9" customFormat="1" x14ac:dyDescent="0.4">
      <c r="I171" s="25"/>
    </row>
    <row r="172" spans="9:9" customFormat="1" x14ac:dyDescent="0.4">
      <c r="I172" s="28"/>
    </row>
    <row r="173" spans="9:9" customFormat="1" x14ac:dyDescent="0.4">
      <c r="I173" s="29"/>
    </row>
    <row r="174" spans="9:9" customFormat="1" x14ac:dyDescent="0.4">
      <c r="I174" s="29"/>
    </row>
    <row r="175" spans="9:9" customFormat="1" x14ac:dyDescent="0.4">
      <c r="I175" s="29"/>
    </row>
    <row r="176" spans="9:9" customFormat="1" x14ac:dyDescent="0.4">
      <c r="I176" s="28"/>
    </row>
  </sheetData>
  <sheetProtection algorithmName="SHA-512" hashValue="eNqbRTGz66j3O72+uVzsEtVcZ/rWMzx2D3nHQf4E06HMLJajBXsIdPL35TEQ8fnuD0YPt74z2VAKRqhUzFd6XQ==" saltValue="pD4sQa+tQkOZ0DlRfO2LTA==" spinCount="100000" sheet="1" selectLockedCells="1"/>
  <mergeCells count="21">
    <mergeCell ref="U35:AE36"/>
    <mergeCell ref="U37:AE37"/>
    <mergeCell ref="U38:AE38"/>
    <mergeCell ref="P3:R3"/>
    <mergeCell ref="U34:AE34"/>
    <mergeCell ref="U5:AE5"/>
    <mergeCell ref="U6:AE6"/>
    <mergeCell ref="AA31:AB31"/>
    <mergeCell ref="AA32:AB32"/>
    <mergeCell ref="AC31:AD31"/>
    <mergeCell ref="AC32:AD32"/>
    <mergeCell ref="K6:S6"/>
    <mergeCell ref="U7:AE29"/>
    <mergeCell ref="B3:C3"/>
    <mergeCell ref="V3:AD3"/>
    <mergeCell ref="V31:Y32"/>
    <mergeCell ref="Z31:Z32"/>
    <mergeCell ref="O5:P5"/>
    <mergeCell ref="K3:L3"/>
    <mergeCell ref="I5:J5"/>
    <mergeCell ref="E3:G3"/>
  </mergeCells>
  <conditionalFormatting sqref="S15:S18 S9:S13 S25:S29">
    <cfRule type="cellIs" dxfId="78" priority="70" operator="equal">
      <formula>0</formula>
    </cfRule>
  </conditionalFormatting>
  <conditionalFormatting sqref="S17 S19 S21:S22">
    <cfRule type="cellIs" dxfId="77" priority="69" operator="equal">
      <formula>0</formula>
    </cfRule>
  </conditionalFormatting>
  <conditionalFormatting sqref="S56">
    <cfRule type="cellIs" dxfId="76" priority="68" operator="equal">
      <formula>0</formula>
    </cfRule>
  </conditionalFormatting>
  <conditionalFormatting sqref="S27">
    <cfRule type="cellIs" dxfId="75" priority="67" operator="equal">
      <formula>0</formula>
    </cfRule>
  </conditionalFormatting>
  <conditionalFormatting sqref="S24">
    <cfRule type="cellIs" dxfId="74" priority="64" operator="equal">
      <formula>0</formula>
    </cfRule>
  </conditionalFormatting>
  <conditionalFormatting sqref="S31">
    <cfRule type="cellIs" dxfId="73" priority="66" operator="equal">
      <formula>0</formula>
    </cfRule>
  </conditionalFormatting>
  <conditionalFormatting sqref="S25">
    <cfRule type="cellIs" dxfId="72" priority="65" operator="equal">
      <formula>0</formula>
    </cfRule>
  </conditionalFormatting>
  <conditionalFormatting sqref="S23">
    <cfRule type="cellIs" dxfId="71" priority="63" operator="equal">
      <formula>0</formula>
    </cfRule>
  </conditionalFormatting>
  <conditionalFormatting sqref="S20">
    <cfRule type="cellIs" dxfId="70" priority="62" operator="equal">
      <formula>0</formula>
    </cfRule>
  </conditionalFormatting>
  <conditionalFormatting sqref="S18">
    <cfRule type="cellIs" dxfId="69" priority="61" operator="equal">
      <formula>0</formula>
    </cfRule>
  </conditionalFormatting>
  <conditionalFormatting sqref="S14">
    <cfRule type="cellIs" dxfId="68" priority="60" operator="equal">
      <formula>0</formula>
    </cfRule>
  </conditionalFormatting>
  <conditionalFormatting sqref="S8">
    <cfRule type="cellIs" dxfId="67" priority="59" operator="equal">
      <formula>0</formula>
    </cfRule>
  </conditionalFormatting>
  <conditionalFormatting sqref="S7">
    <cfRule type="cellIs" dxfId="66" priority="58" operator="equal">
      <formula>0</formula>
    </cfRule>
  </conditionalFormatting>
  <conditionalFormatting sqref="S30">
    <cfRule type="cellIs" dxfId="65" priority="57" operator="equal">
      <formula>0</formula>
    </cfRule>
  </conditionalFormatting>
  <conditionalFormatting sqref="S32">
    <cfRule type="cellIs" dxfId="64" priority="56" operator="equal">
      <formula>0</formula>
    </cfRule>
  </conditionalFormatting>
  <conditionalFormatting sqref="S33">
    <cfRule type="cellIs" dxfId="63" priority="55" operator="equal">
      <formula>0</formula>
    </cfRule>
  </conditionalFormatting>
  <conditionalFormatting sqref="S34">
    <cfRule type="cellIs" dxfId="62" priority="54" operator="equal">
      <formula>0</formula>
    </cfRule>
  </conditionalFormatting>
  <conditionalFormatting sqref="S35">
    <cfRule type="cellIs" dxfId="61" priority="53" operator="equal">
      <formula>0</formula>
    </cfRule>
  </conditionalFormatting>
  <conditionalFormatting sqref="S45">
    <cfRule type="cellIs" dxfId="60" priority="41" operator="equal">
      <formula>0</formula>
    </cfRule>
  </conditionalFormatting>
  <conditionalFormatting sqref="S42">
    <cfRule type="cellIs" dxfId="59" priority="44" operator="equal">
      <formula>0</formula>
    </cfRule>
  </conditionalFormatting>
  <conditionalFormatting sqref="S36">
    <cfRule type="cellIs" dxfId="58" priority="50" operator="equal">
      <formula>0</formula>
    </cfRule>
  </conditionalFormatting>
  <conditionalFormatting sqref="S37">
    <cfRule type="cellIs" dxfId="57" priority="49" operator="equal">
      <formula>0</formula>
    </cfRule>
  </conditionalFormatting>
  <conditionalFormatting sqref="S38">
    <cfRule type="cellIs" dxfId="56" priority="48" operator="equal">
      <formula>0</formula>
    </cfRule>
  </conditionalFormatting>
  <conditionalFormatting sqref="S39">
    <cfRule type="cellIs" dxfId="55" priority="47" operator="equal">
      <formula>0</formula>
    </cfRule>
  </conditionalFormatting>
  <conditionalFormatting sqref="S40">
    <cfRule type="cellIs" dxfId="54" priority="46" operator="equal">
      <formula>0</formula>
    </cfRule>
  </conditionalFormatting>
  <conditionalFormatting sqref="S41">
    <cfRule type="cellIs" dxfId="53" priority="45" operator="equal">
      <formula>0</formula>
    </cfRule>
  </conditionalFormatting>
  <conditionalFormatting sqref="S43">
    <cfRule type="cellIs" dxfId="52" priority="43" operator="equal">
      <formula>0</formula>
    </cfRule>
  </conditionalFormatting>
  <conditionalFormatting sqref="S44">
    <cfRule type="cellIs" dxfId="51" priority="42" operator="equal">
      <formula>0</formula>
    </cfRule>
  </conditionalFormatting>
  <conditionalFormatting sqref="S46">
    <cfRule type="cellIs" dxfId="50" priority="40" operator="equal">
      <formula>0</formula>
    </cfRule>
  </conditionalFormatting>
  <conditionalFormatting sqref="S52">
    <cfRule type="cellIs" dxfId="49" priority="34" operator="equal">
      <formula>0</formula>
    </cfRule>
  </conditionalFormatting>
  <conditionalFormatting sqref="S47">
    <cfRule type="cellIs" dxfId="48" priority="39" operator="equal">
      <formula>0</formula>
    </cfRule>
  </conditionalFormatting>
  <conditionalFormatting sqref="S48">
    <cfRule type="cellIs" dxfId="47" priority="38" operator="equal">
      <formula>0</formula>
    </cfRule>
  </conditionalFormatting>
  <conditionalFormatting sqref="S49">
    <cfRule type="cellIs" dxfId="46" priority="37" operator="equal">
      <formula>0</formula>
    </cfRule>
  </conditionalFormatting>
  <conditionalFormatting sqref="S50">
    <cfRule type="cellIs" dxfId="45" priority="36" operator="equal">
      <formula>0</formula>
    </cfRule>
  </conditionalFormatting>
  <conditionalFormatting sqref="S51">
    <cfRule type="cellIs" dxfId="44" priority="35" operator="equal">
      <formula>0</formula>
    </cfRule>
  </conditionalFormatting>
  <conditionalFormatting sqref="S53">
    <cfRule type="cellIs" dxfId="43" priority="33" operator="equal">
      <formula>0</formula>
    </cfRule>
  </conditionalFormatting>
  <conditionalFormatting sqref="S26">
    <cfRule type="cellIs" dxfId="42" priority="29" operator="equal">
      <formula>0</formula>
    </cfRule>
  </conditionalFormatting>
  <conditionalFormatting sqref="S23">
    <cfRule type="cellIs" dxfId="41" priority="26" operator="equal">
      <formula>0</formula>
    </cfRule>
  </conditionalFormatting>
  <conditionalFormatting sqref="S30">
    <cfRule type="cellIs" dxfId="40" priority="28" operator="equal">
      <formula>0</formula>
    </cfRule>
  </conditionalFormatting>
  <conditionalFormatting sqref="S24">
    <cfRule type="cellIs" dxfId="39" priority="27" operator="equal">
      <formula>0</formula>
    </cfRule>
  </conditionalFormatting>
  <conditionalFormatting sqref="S22">
    <cfRule type="cellIs" dxfId="38" priority="25" operator="equal">
      <formula>0</formula>
    </cfRule>
  </conditionalFormatting>
  <conditionalFormatting sqref="S29">
    <cfRule type="cellIs" dxfId="37" priority="24" operator="equal">
      <formula>0</formula>
    </cfRule>
  </conditionalFormatting>
  <conditionalFormatting sqref="S31">
    <cfRule type="cellIs" dxfId="36" priority="23" operator="equal">
      <formula>0</formula>
    </cfRule>
  </conditionalFormatting>
  <conditionalFormatting sqref="S32">
    <cfRule type="cellIs" dxfId="35" priority="22" operator="equal">
      <formula>0</formula>
    </cfRule>
  </conditionalFormatting>
  <conditionalFormatting sqref="S33">
    <cfRule type="cellIs" dxfId="34" priority="21" operator="equal">
      <formula>0</formula>
    </cfRule>
  </conditionalFormatting>
  <conditionalFormatting sqref="S34">
    <cfRule type="cellIs" dxfId="33" priority="20" operator="equal">
      <formula>0</formula>
    </cfRule>
  </conditionalFormatting>
  <conditionalFormatting sqref="S44">
    <cfRule type="cellIs" dxfId="32" priority="10" operator="equal">
      <formula>0</formula>
    </cfRule>
  </conditionalFormatting>
  <conditionalFormatting sqref="S41">
    <cfRule type="cellIs" dxfId="31" priority="13" operator="equal">
      <formula>0</formula>
    </cfRule>
  </conditionalFormatting>
  <conditionalFormatting sqref="S35">
    <cfRule type="cellIs" dxfId="30" priority="19" operator="equal">
      <formula>0</formula>
    </cfRule>
  </conditionalFormatting>
  <conditionalFormatting sqref="S36">
    <cfRule type="cellIs" dxfId="29" priority="18" operator="equal">
      <formula>0</formula>
    </cfRule>
  </conditionalFormatting>
  <conditionalFormatting sqref="S37">
    <cfRule type="cellIs" dxfId="28" priority="17" operator="equal">
      <formula>0</formula>
    </cfRule>
  </conditionalFormatting>
  <conditionalFormatting sqref="S38">
    <cfRule type="cellIs" dxfId="27" priority="16" operator="equal">
      <formula>0</formula>
    </cfRule>
  </conditionalFormatting>
  <conditionalFormatting sqref="S39">
    <cfRule type="cellIs" dxfId="26" priority="15" operator="equal">
      <formula>0</formula>
    </cfRule>
  </conditionalFormatting>
  <conditionalFormatting sqref="S40">
    <cfRule type="cellIs" dxfId="25" priority="14" operator="equal">
      <formula>0</formula>
    </cfRule>
  </conditionalFormatting>
  <conditionalFormatting sqref="S42">
    <cfRule type="cellIs" dxfId="24" priority="12" operator="equal">
      <formula>0</formula>
    </cfRule>
  </conditionalFormatting>
  <conditionalFormatting sqref="S43">
    <cfRule type="cellIs" dxfId="23" priority="11" operator="equal">
      <formula>0</formula>
    </cfRule>
  </conditionalFormatting>
  <conditionalFormatting sqref="S45">
    <cfRule type="cellIs" dxfId="22" priority="9" operator="equal">
      <formula>0</formula>
    </cfRule>
  </conditionalFormatting>
  <conditionalFormatting sqref="S51">
    <cfRule type="cellIs" dxfId="21" priority="3" operator="equal">
      <formula>0</formula>
    </cfRule>
  </conditionalFormatting>
  <conditionalFormatting sqref="S46">
    <cfRule type="cellIs" dxfId="20" priority="8" operator="equal">
      <formula>0</formula>
    </cfRule>
  </conditionalFormatting>
  <conditionalFormatting sqref="S47">
    <cfRule type="cellIs" dxfId="19" priority="7" operator="equal">
      <formula>0</formula>
    </cfRule>
  </conditionalFormatting>
  <conditionalFormatting sqref="S48">
    <cfRule type="cellIs" dxfId="18" priority="6" operator="equal">
      <formula>0</formula>
    </cfRule>
  </conditionalFormatting>
  <conditionalFormatting sqref="S49">
    <cfRule type="cellIs" dxfId="17" priority="5" operator="equal">
      <formula>0</formula>
    </cfRule>
  </conditionalFormatting>
  <conditionalFormatting sqref="S50">
    <cfRule type="cellIs" dxfId="16" priority="4" operator="equal">
      <formula>0</formula>
    </cfRule>
  </conditionalFormatting>
  <conditionalFormatting sqref="S52">
    <cfRule type="cellIs" dxfId="15" priority="2" operator="equal">
      <formula>0</formula>
    </cfRule>
  </conditionalFormatting>
  <conditionalFormatting sqref="S53">
    <cfRule type="cellIs" dxfId="14" priority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8" scale="80" orientation="landscape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xr:uid="{00000000-0002-0000-0200-000000000000}">
          <x14:formula1>
            <xm:f>'Product List'!$B$24:$B$25</xm:f>
          </x14:formula1>
          <xm:sqref>G48:G49</xm:sqref>
        </x14:dataValidation>
        <x14:dataValidation type="list" allowBlank="1" showInputMessage="1" showErrorMessage="1" xr:uid="{00000000-0002-0000-0200-000001000000}">
          <x14:formula1>
            <xm:f>'Product List'!$B$39:$B$41</xm:f>
          </x14:formula1>
          <xm:sqref>G19:G20</xm:sqref>
        </x14:dataValidation>
        <x14:dataValidation type="list" allowBlank="1" showInputMessage="1" showErrorMessage="1" xr:uid="{00000000-0002-0000-0200-000003000000}">
          <x14:formula1>
            <xm:f>'Product List'!$B$42:$B$45</xm:f>
          </x14:formula1>
          <xm:sqref>G21:G26</xm:sqref>
        </x14:dataValidation>
        <x14:dataValidation type="list" allowBlank="1" showInputMessage="1" showErrorMessage="1" xr:uid="{00000000-0002-0000-0200-000004000000}">
          <x14:formula1>
            <xm:f>'Product List'!$B$46:$B$49</xm:f>
          </x14:formula1>
          <xm:sqref>G27:G30</xm:sqref>
        </x14:dataValidation>
        <x14:dataValidation type="list" allowBlank="1" showInputMessage="1" showErrorMessage="1" promptTitle="SELECT" xr:uid="{00000000-0002-0000-0200-000005000000}">
          <x14:formula1>
            <xm:f>'Product List'!$B$5:$B$14</xm:f>
          </x14:formula1>
          <xm:sqref>G31:G34</xm:sqref>
        </x14:dataValidation>
        <x14:dataValidation type="list" allowBlank="1" showInputMessage="1" showErrorMessage="1" xr:uid="{00000000-0002-0000-0200-000006000000}">
          <x14:formula1>
            <xm:f>'Product List'!$B$15:$B$21</xm:f>
          </x14:formula1>
          <xm:sqref>G35:G38</xm:sqref>
        </x14:dataValidation>
        <x14:dataValidation type="list" allowBlank="1" showInputMessage="1" showErrorMessage="1" xr:uid="{00000000-0002-0000-0200-000007000000}">
          <x14:formula1>
            <xm:f>'Product List'!$B$24:$B$26</xm:f>
          </x14:formula1>
          <xm:sqref>G41:G43</xm:sqref>
        </x14:dataValidation>
        <x14:dataValidation type="list" allowBlank="1" showInputMessage="1" showErrorMessage="1" xr:uid="{00000000-0002-0000-0200-000008000000}">
          <x14:formula1>
            <xm:f>'Product List'!$B$27:$B$29</xm:f>
          </x14:formula1>
          <xm:sqref>G44:G47</xm:sqref>
        </x14:dataValidation>
        <x14:dataValidation type="list" allowBlank="1" showInputMessage="1" showErrorMessage="1" xr:uid="{00000000-0002-0000-0200-000009000000}">
          <x14:formula1>
            <xm:f>'Product List'!$B$38:$B$41</xm:f>
          </x14:formula1>
          <xm:sqref>G17:G18</xm:sqref>
        </x14:dataValidation>
        <x14:dataValidation type="list" allowBlank="1" showInputMessage="1" showErrorMessage="1" xr:uid="{00000000-0002-0000-0200-00000A000000}">
          <x14:formula1>
            <xm:f>'Product List'!$B$50:$B$60</xm:f>
          </x14:formula1>
          <xm:sqref>G50:G53</xm:sqref>
        </x14:dataValidation>
        <x14:dataValidation type="list" allowBlank="1" showInputMessage="1" showErrorMessage="1" promptTitle="SELECT" xr:uid="{00000000-0002-0000-0200-00000B000000}">
          <x14:formula1>
            <xm:f>'Product List'!$B$18:$B$22</xm:f>
          </x14:formula1>
          <xm:sqref>G39:G40</xm:sqref>
        </x14:dataValidation>
        <x14:dataValidation type="list" allowBlank="1" showInputMessage="1" showErrorMessage="1" xr:uid="{00000000-0002-0000-0200-00000C000000}">
          <x14:formula1>
            <xm:f>'Product List'!$O$5:$O$25</xm:f>
          </x14:formula1>
          <xm:sqref>S3</xm:sqref>
        </x14:dataValidation>
        <x14:dataValidation type="list" allowBlank="1" showInputMessage="1" showErrorMessage="1" xr:uid="{00000000-0002-0000-0200-00000D000000}">
          <x14:formula1>
            <xm:f>'Product List'!$K$3:$M$3</xm:f>
          </x14:formula1>
          <xm:sqref>N3</xm:sqref>
        </x14:dataValidation>
        <x14:dataValidation type="list" allowBlank="1" showInputMessage="1" showErrorMessage="1" xr:uid="{00000000-0002-0000-0200-000002000000}">
          <x14:formula1>
            <xm:f>'Product List'!$B$30:$B$38</xm:f>
          </x14:formula1>
          <xm:sqref>G7:G16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 filterMode="1">
    <tabColor theme="3" tint="-0.249977111117893"/>
  </sheetPr>
  <dimension ref="A1:K278"/>
  <sheetViews>
    <sheetView workbookViewId="0">
      <selection activeCell="F185" sqref="F185"/>
    </sheetView>
  </sheetViews>
  <sheetFormatPr defaultRowHeight="14.6" x14ac:dyDescent="0.4"/>
  <cols>
    <col min="1" max="1" width="13.3828125" customWidth="1"/>
    <col min="2" max="2" width="40.3046875" customWidth="1"/>
    <col min="3" max="3" width="15.69140625" style="19" customWidth="1"/>
    <col min="4" max="4" width="9.15234375" style="20"/>
    <col min="5" max="5" width="5.69140625" customWidth="1"/>
    <col min="6" max="6" width="6.69140625" customWidth="1"/>
    <col min="7" max="7" width="17.69140625" style="20" customWidth="1"/>
    <col min="8" max="9" width="6.69140625" customWidth="1"/>
    <col min="10" max="10" width="17.69140625" customWidth="1"/>
    <col min="11" max="11" width="13.3828125" customWidth="1"/>
  </cols>
  <sheetData>
    <row r="1" spans="1:11" x14ac:dyDescent="0.4">
      <c r="A1" s="3"/>
      <c r="B1" s="3"/>
      <c r="D1" s="19"/>
      <c r="E1" s="3"/>
      <c r="F1" s="3"/>
      <c r="G1" s="19"/>
      <c r="H1" s="3"/>
      <c r="I1" s="3"/>
      <c r="J1" s="3"/>
      <c r="K1" s="3"/>
    </row>
    <row r="2" spans="1:11" x14ac:dyDescent="0.4">
      <c r="A2" s="3"/>
      <c r="B2" s="280" t="s">
        <v>163</v>
      </c>
      <c r="C2" s="281"/>
      <c r="D2" s="281"/>
      <c r="E2" s="52"/>
      <c r="F2" s="280" t="s">
        <v>172</v>
      </c>
      <c r="G2" s="279"/>
      <c r="H2" s="281"/>
      <c r="I2" s="281"/>
      <c r="J2" s="281"/>
      <c r="K2" s="3"/>
    </row>
    <row r="3" spans="1:11" x14ac:dyDescent="0.4">
      <c r="A3" s="3"/>
      <c r="B3" s="279" t="str">
        <f>"VVP200-020-000_" &amp; '2 Stand Configurator'!E3</f>
        <v>VVP200-020-000_Enter Company Name</v>
      </c>
      <c r="C3" s="281"/>
      <c r="D3" s="281"/>
      <c r="E3" s="52"/>
      <c r="F3" s="279" t="s">
        <v>180</v>
      </c>
      <c r="G3" s="282"/>
      <c r="H3" s="282"/>
      <c r="I3" s="282"/>
      <c r="J3" s="282"/>
      <c r="K3" s="3"/>
    </row>
    <row r="4" spans="1:11" x14ac:dyDescent="0.4">
      <c r="A4" s="3"/>
      <c r="B4" s="19"/>
      <c r="C4" s="3"/>
      <c r="D4" s="3"/>
      <c r="E4" s="3"/>
      <c r="F4" s="3"/>
      <c r="G4" s="19"/>
      <c r="H4" s="3"/>
      <c r="I4" s="3"/>
      <c r="J4" s="3"/>
      <c r="K4" s="3"/>
    </row>
    <row r="5" spans="1:11" x14ac:dyDescent="0.4">
      <c r="A5" s="3"/>
      <c r="B5" s="186" t="s">
        <v>182</v>
      </c>
      <c r="C5" s="9" t="s">
        <v>53</v>
      </c>
      <c r="D5" s="18" t="s">
        <v>159</v>
      </c>
      <c r="E5" s="52"/>
      <c r="F5" s="52"/>
      <c r="G5" s="5"/>
      <c r="H5" s="52"/>
      <c r="I5" s="52"/>
      <c r="J5" s="52"/>
      <c r="K5" s="3"/>
    </row>
    <row r="6" spans="1:11" ht="5.15" customHeight="1" x14ac:dyDescent="0.4">
      <c r="A6" s="3"/>
      <c r="B6" s="5"/>
      <c r="C6" s="52"/>
      <c r="D6" s="52"/>
      <c r="E6" s="52"/>
      <c r="F6" s="52"/>
      <c r="G6" s="5"/>
      <c r="H6" s="52"/>
      <c r="I6" s="52"/>
      <c r="J6" s="52"/>
      <c r="K6" s="3"/>
    </row>
    <row r="7" spans="1:11" x14ac:dyDescent="0.4">
      <c r="A7" s="3"/>
      <c r="B7" s="187" t="s">
        <v>170</v>
      </c>
      <c r="C7" s="41" t="s">
        <v>169</v>
      </c>
      <c r="D7" s="41">
        <f>SUM(2*'2 Stand Configurator'!Z31)</f>
        <v>2</v>
      </c>
      <c r="E7" s="52"/>
      <c r="F7" s="52"/>
      <c r="G7" s="52"/>
      <c r="H7" s="52"/>
      <c r="I7" s="52"/>
      <c r="J7" s="52"/>
      <c r="K7" s="3"/>
    </row>
    <row r="8" spans="1:11" x14ac:dyDescent="0.4">
      <c r="A8" s="3"/>
      <c r="B8" s="188" t="s">
        <v>173</v>
      </c>
      <c r="C8" s="41" t="s">
        <v>179</v>
      </c>
      <c r="D8" s="38">
        <f>SUM(2*'2 Stand Configurator'!Z31)</f>
        <v>2</v>
      </c>
      <c r="E8" s="52"/>
      <c r="F8" s="52"/>
      <c r="G8" s="5"/>
      <c r="H8" s="52"/>
      <c r="I8" s="52"/>
      <c r="J8" s="52"/>
      <c r="K8" s="3"/>
    </row>
    <row r="9" spans="1:11" ht="15" customHeight="1" x14ac:dyDescent="0.4">
      <c r="A9" s="3"/>
      <c r="B9" s="187" t="s">
        <v>165</v>
      </c>
      <c r="C9" s="41" t="s">
        <v>164</v>
      </c>
      <c r="D9" s="41">
        <f>SUM(3*'2 Stand Configurator'!Z31)</f>
        <v>3</v>
      </c>
      <c r="E9" s="52"/>
      <c r="F9" s="52"/>
      <c r="G9" s="5"/>
      <c r="H9" s="52"/>
      <c r="I9" s="52"/>
      <c r="J9" s="52"/>
      <c r="K9" s="3"/>
    </row>
    <row r="10" spans="1:11" ht="15" customHeight="1" x14ac:dyDescent="0.4">
      <c r="A10" s="3"/>
      <c r="B10" s="187" t="s">
        <v>167</v>
      </c>
      <c r="C10" s="41" t="s">
        <v>166</v>
      </c>
      <c r="D10" s="41">
        <f>SUM(1*'2 Stand Configurator'!Z31)</f>
        <v>1</v>
      </c>
      <c r="E10" s="52"/>
      <c r="F10" s="52"/>
      <c r="G10" s="5"/>
      <c r="H10" s="52"/>
      <c r="I10" s="52"/>
      <c r="J10" s="52"/>
      <c r="K10" s="3"/>
    </row>
    <row r="11" spans="1:11" ht="15" customHeight="1" x14ac:dyDescent="0.4">
      <c r="A11" s="3"/>
      <c r="B11" s="187" t="s">
        <v>171</v>
      </c>
      <c r="C11" s="41" t="s">
        <v>168</v>
      </c>
      <c r="D11" s="41">
        <f>SUM(2*'2 Stand Configurator'!Z31)</f>
        <v>2</v>
      </c>
      <c r="E11" s="52"/>
      <c r="F11" s="52"/>
      <c r="G11" s="5"/>
      <c r="H11" s="52"/>
      <c r="I11" s="52"/>
      <c r="J11" s="52"/>
      <c r="K11" s="3"/>
    </row>
    <row r="12" spans="1:11" ht="15" customHeight="1" x14ac:dyDescent="0.4">
      <c r="A12" s="3"/>
      <c r="B12" s="52"/>
      <c r="C12" s="52"/>
      <c r="D12" s="5"/>
      <c r="E12" s="52"/>
      <c r="F12" s="52"/>
      <c r="G12" s="52"/>
      <c r="H12" s="52"/>
      <c r="I12" s="52"/>
      <c r="J12" s="52"/>
      <c r="K12" s="3"/>
    </row>
    <row r="13" spans="1:11" ht="15" customHeight="1" x14ac:dyDescent="0.4">
      <c r="A13" s="3"/>
      <c r="B13" s="39" t="s">
        <v>0</v>
      </c>
      <c r="C13" s="9" t="s">
        <v>53</v>
      </c>
      <c r="D13" s="18" t="s">
        <v>159</v>
      </c>
      <c r="E13" s="52"/>
      <c r="F13" s="52"/>
      <c r="G13" s="5"/>
      <c r="H13" s="52"/>
      <c r="I13" s="52"/>
      <c r="J13" s="52"/>
      <c r="K13" s="3"/>
    </row>
    <row r="14" spans="1:11" ht="5.15" customHeight="1" x14ac:dyDescent="0.4">
      <c r="A14" s="3"/>
      <c r="B14" s="189"/>
      <c r="C14" s="190"/>
      <c r="D14" s="5"/>
      <c r="E14" s="52"/>
      <c r="F14" s="52"/>
      <c r="G14" s="5"/>
      <c r="H14" s="52"/>
      <c r="I14" s="52"/>
      <c r="J14" s="52"/>
      <c r="K14" s="3"/>
    </row>
    <row r="15" spans="1:11" ht="15" customHeight="1" x14ac:dyDescent="0.4">
      <c r="A15" s="3"/>
      <c r="B15" s="42" t="str">
        <f>'2 Stand Configurator'!G7</f>
        <v>Stealth8000 Safety Spectacles - Clear</v>
      </c>
      <c r="C15" s="41" t="str">
        <f>'2 Stand Configurator'!B7</f>
        <v>ASA790-161-300</v>
      </c>
      <c r="D15" s="41">
        <f>SUM('2 Stand Configurator'!N7*'2 Stand Configurator'!Z31)</f>
        <v>10</v>
      </c>
      <c r="E15" s="52"/>
      <c r="F15" s="52"/>
      <c r="G15" s="5"/>
      <c r="H15" s="52"/>
      <c r="I15" s="52"/>
      <c r="J15" s="52"/>
      <c r="K15" s="3"/>
    </row>
    <row r="16" spans="1:11" ht="15" customHeight="1" x14ac:dyDescent="0.4">
      <c r="A16" s="3"/>
      <c r="B16" s="42" t="str">
        <f>'2 Stand Configurator'!G8</f>
        <v>Stealth8000 Safety Spectacles - Amber</v>
      </c>
      <c r="C16" s="41" t="str">
        <f>'2 Stand Configurator'!B8</f>
        <v>ASA790-161-200</v>
      </c>
      <c r="D16" s="41">
        <f>SUM('2 Stand Configurator'!N8*'2 Stand Configurator'!Z31)</f>
        <v>10</v>
      </c>
      <c r="E16" s="52"/>
      <c r="F16" s="52"/>
      <c r="G16" s="5"/>
      <c r="H16" s="52"/>
      <c r="I16" s="52"/>
      <c r="J16" s="52"/>
      <c r="K16" s="3"/>
    </row>
    <row r="17" spans="1:11" ht="15" customHeight="1" x14ac:dyDescent="0.4">
      <c r="A17" s="3"/>
      <c r="B17" s="42" t="str">
        <f>'2 Stand Configurator'!G9</f>
        <v>Stealth8000 Safety Spectacles - Smoke</v>
      </c>
      <c r="C17" s="41" t="str">
        <f>'2 Stand Configurator'!B9</f>
        <v>ASA790-166-400</v>
      </c>
      <c r="D17" s="41">
        <f>SUM('2 Stand Configurator'!N9*'2 Stand Configurator'!Z31)</f>
        <v>10</v>
      </c>
      <c r="E17" s="52"/>
      <c r="F17" s="52"/>
      <c r="G17" s="5"/>
      <c r="H17" s="52"/>
      <c r="I17" s="52"/>
      <c r="J17" s="52"/>
      <c r="K17" s="3"/>
    </row>
    <row r="18" spans="1:11" ht="15" customHeight="1" x14ac:dyDescent="0.4">
      <c r="A18" s="3"/>
      <c r="B18" s="42" t="str">
        <f>'2 Stand Configurator'!G10</f>
        <v>Stealth16g Safety Spectacles - Clear</v>
      </c>
      <c r="C18" s="41" t="str">
        <f>'2 Stand Configurator'!B10</f>
        <v>ASA920-161-300</v>
      </c>
      <c r="D18" s="41">
        <f>SUM('2 Stand Configurator'!N10*'2 Stand Configurator'!Z31)</f>
        <v>10</v>
      </c>
      <c r="E18" s="52"/>
      <c r="F18" s="52"/>
      <c r="G18" s="5"/>
      <c r="H18" s="52"/>
      <c r="I18" s="52"/>
      <c r="J18" s="52"/>
      <c r="K18" s="3"/>
    </row>
    <row r="19" spans="1:11" ht="15" customHeight="1" x14ac:dyDescent="0.4">
      <c r="A19" s="3"/>
      <c r="B19" s="42" t="str">
        <f>'2 Stand Configurator'!G11</f>
        <v>Stealth16g Safety Spectacles - Amber</v>
      </c>
      <c r="C19" s="41" t="str">
        <f>'2 Stand Configurator'!B11</f>
        <v>ASA920-161-200</v>
      </c>
      <c r="D19" s="41">
        <f>SUM('2 Stand Configurator'!N11*'2 Stand Configurator'!Z31)</f>
        <v>10</v>
      </c>
      <c r="E19" s="52"/>
      <c r="F19" s="52"/>
      <c r="G19" s="5"/>
      <c r="H19" s="52"/>
      <c r="I19" s="52"/>
      <c r="J19" s="52"/>
      <c r="K19" s="3"/>
    </row>
    <row r="20" spans="1:11" ht="15" customHeight="1" x14ac:dyDescent="0.4">
      <c r="A20" s="3"/>
      <c r="B20" s="42" t="str">
        <f>'2 Stand Configurator'!G12</f>
        <v>Stealth16g Safety Spectacles - Smoke</v>
      </c>
      <c r="C20" s="41" t="str">
        <f>'2 Stand Configurator'!B12</f>
        <v>ASA920-163-000</v>
      </c>
      <c r="D20" s="41">
        <f>SUM('2 Stand Configurator'!N12*'2 Stand Configurator'!Z31)</f>
        <v>10</v>
      </c>
      <c r="E20" s="52"/>
      <c r="F20" s="52"/>
      <c r="G20" s="5"/>
      <c r="H20" s="52"/>
      <c r="I20" s="52"/>
      <c r="J20" s="52"/>
      <c r="K20" s="3"/>
    </row>
    <row r="21" spans="1:11" ht="15" customHeight="1" x14ac:dyDescent="0.4">
      <c r="A21" s="3"/>
      <c r="B21" s="42" t="str">
        <f>'2 Stand Configurator'!G13</f>
        <v>Stealth8000 Safety Spectacles - Clear</v>
      </c>
      <c r="C21" s="41" t="str">
        <f>'2 Stand Configurator'!B13</f>
        <v>ASA790-161-300</v>
      </c>
      <c r="D21" s="41">
        <f>SUM('2 Stand Configurator'!N13*'2 Stand Configurator'!Z31)</f>
        <v>10</v>
      </c>
      <c r="E21" s="52"/>
      <c r="F21" s="52"/>
      <c r="G21" s="5"/>
      <c r="H21" s="52"/>
      <c r="I21" s="52"/>
      <c r="J21" s="52"/>
      <c r="K21" s="3"/>
    </row>
    <row r="22" spans="1:11" ht="15" customHeight="1" x14ac:dyDescent="0.4">
      <c r="A22" s="3"/>
      <c r="B22" s="42" t="str">
        <f>'2 Stand Configurator'!G14</f>
        <v>Stealth8000 Safety Spectacles - Amber</v>
      </c>
      <c r="C22" s="41" t="str">
        <f>'2 Stand Configurator'!B14</f>
        <v>ASA790-161-200</v>
      </c>
      <c r="D22" s="41">
        <f>SUM('2 Stand Configurator'!N14*'2 Stand Configurator'!Z31)</f>
        <v>10</v>
      </c>
      <c r="E22" s="52"/>
      <c r="F22" s="52"/>
      <c r="G22" s="5"/>
      <c r="H22" s="52"/>
      <c r="I22" s="52"/>
      <c r="J22" s="52"/>
      <c r="K22" s="3"/>
    </row>
    <row r="23" spans="1:11" ht="15" customHeight="1" x14ac:dyDescent="0.4">
      <c r="A23" s="3"/>
      <c r="B23" s="42" t="str">
        <f>'2 Stand Configurator'!G15</f>
        <v>Stealth8000 Safety Spectacles - In/Out</v>
      </c>
      <c r="C23" s="41" t="str">
        <f>'2 Stand Configurator'!B15</f>
        <v>ASA790-162-900</v>
      </c>
      <c r="D23" s="41">
        <f>SUM('2 Stand Configurator'!N15*'2 Stand Configurator'!Z31)</f>
        <v>10</v>
      </c>
      <c r="E23" s="52"/>
      <c r="F23" s="52"/>
      <c r="G23" s="5"/>
      <c r="H23" s="52"/>
      <c r="I23" s="52"/>
      <c r="J23" s="52"/>
      <c r="K23" s="3"/>
    </row>
    <row r="24" spans="1:11" ht="15" customHeight="1" x14ac:dyDescent="0.4">
      <c r="A24" s="3"/>
      <c r="B24" s="42" t="str">
        <f>'2 Stand Configurator'!G16</f>
        <v>Stealth8000 Safety Spectacles - Smoke</v>
      </c>
      <c r="C24" s="41" t="str">
        <f>'2 Stand Configurator'!B16</f>
        <v>ASA790-166-400</v>
      </c>
      <c r="D24" s="41">
        <f>SUM('2 Stand Configurator'!N16*'2 Stand Configurator'!Z31)</f>
        <v>10</v>
      </c>
      <c r="E24" s="52"/>
      <c r="F24" s="52"/>
      <c r="G24" s="5"/>
      <c r="H24" s="52"/>
      <c r="I24" s="52"/>
      <c r="J24" s="52"/>
      <c r="K24" s="3"/>
    </row>
    <row r="25" spans="1:11" ht="15" customHeight="1" x14ac:dyDescent="0.4">
      <c r="A25" s="3"/>
      <c r="B25" s="42" t="str">
        <f>'2 Stand Configurator'!G17</f>
        <v>Stealth CoverLite OverSpec - Clear</v>
      </c>
      <c r="C25" s="41" t="str">
        <f>'2 Stand Configurator'!B17</f>
        <v>ASA940-061-300</v>
      </c>
      <c r="D25" s="41">
        <f>SUM('2 Stand Configurator'!N17*'2 Stand Configurator'!Z31)</f>
        <v>10</v>
      </c>
      <c r="E25" s="52"/>
      <c r="F25" s="52"/>
      <c r="G25" s="5"/>
      <c r="H25" s="52"/>
      <c r="I25" s="52"/>
      <c r="J25" s="52"/>
      <c r="K25" s="3"/>
    </row>
    <row r="26" spans="1:11" ht="15" customHeight="1" x14ac:dyDescent="0.4">
      <c r="A26" s="3"/>
      <c r="B26" s="42" t="str">
        <f>'2 Stand Configurator'!G18</f>
        <v>Stealth CoverLite OverSpec - Clear</v>
      </c>
      <c r="C26" s="41" t="str">
        <f>'2 Stand Configurator'!B18</f>
        <v>ASA940-061-300</v>
      </c>
      <c r="D26" s="41">
        <f>SUM('2 Stand Configurator'!N18*'2 Stand Configurator'!Z31)</f>
        <v>10</v>
      </c>
      <c r="E26" s="52"/>
      <c r="F26" s="52"/>
      <c r="G26" s="5"/>
      <c r="H26" s="52"/>
      <c r="I26" s="52"/>
      <c r="J26" s="52"/>
      <c r="K26" s="3"/>
    </row>
    <row r="27" spans="1:11" ht="15" customHeight="1" x14ac:dyDescent="0.4">
      <c r="A27" s="3"/>
      <c r="B27" s="42" t="str">
        <f>'2 Stand Configurator'!G19</f>
        <v>EVOGoggle - Safety Goggle</v>
      </c>
      <c r="C27" s="41" t="str">
        <f>'2 Stand Configurator'!B19</f>
        <v>AGM020-623-000</v>
      </c>
      <c r="D27" s="41">
        <f>SUM('2 Stand Configurator'!N19*'2 Stand Configurator'!Z31)</f>
        <v>10</v>
      </c>
      <c r="E27" s="52"/>
      <c r="F27" s="52"/>
      <c r="G27" s="5"/>
      <c r="H27" s="52"/>
      <c r="I27" s="52"/>
      <c r="J27" s="52"/>
      <c r="K27" s="3"/>
    </row>
    <row r="28" spans="1:11" ht="15" customHeight="1" x14ac:dyDescent="0.4">
      <c r="A28" s="3"/>
      <c r="B28" s="42" t="str">
        <f>'2 Stand Configurator'!G20</f>
        <v>EVOGoggle - Safety Goggle</v>
      </c>
      <c r="C28" s="41" t="str">
        <f>'2 Stand Configurator'!B20</f>
        <v>AGM020-623-000</v>
      </c>
      <c r="D28" s="41">
        <f>SUM('2 Stand Configurator'!N20*'2 Stand Configurator'!Z31)</f>
        <v>10</v>
      </c>
      <c r="E28" s="52"/>
      <c r="F28" s="52"/>
      <c r="G28" s="5"/>
      <c r="H28" s="52"/>
      <c r="I28" s="52"/>
      <c r="J28" s="52"/>
      <c r="K28" s="3"/>
    </row>
    <row r="29" spans="1:11" ht="15" customHeight="1" x14ac:dyDescent="0.4">
      <c r="A29" s="3"/>
      <c r="B29" s="42" t="str">
        <f>'2 Stand Configurator'!G21</f>
        <v>Sonis1 Headbanded Ear defender - SNR 27</v>
      </c>
      <c r="C29" s="41" t="str">
        <f>'2 Stand Configurator'!B21</f>
        <v>AEB010-0AY-800</v>
      </c>
      <c r="D29" s="41">
        <f>SUM('2 Stand Configurator'!N21*'2 Stand Configurator'!Z31)</f>
        <v>10</v>
      </c>
      <c r="E29" s="52"/>
      <c r="F29" s="52"/>
      <c r="G29" s="5"/>
      <c r="H29" s="52"/>
      <c r="I29" s="52"/>
      <c r="J29" s="52"/>
      <c r="K29" s="3"/>
    </row>
    <row r="30" spans="1:11" ht="15.75" customHeight="1" x14ac:dyDescent="0.4">
      <c r="A30" s="3"/>
      <c r="B30" s="42" t="str">
        <f>'2 Stand Configurator'!G22</f>
        <v>SonisC Headbanded Ear defender - SNR 32</v>
      </c>
      <c r="C30" s="41" t="str">
        <f>'2 Stand Configurator'!B22</f>
        <v>AEB030-0AY-000</v>
      </c>
      <c r="D30" s="41">
        <f>SUM('2 Stand Configurator'!N22*'2 Stand Configurator'!Z31)</f>
        <v>10</v>
      </c>
      <c r="E30" s="52"/>
      <c r="F30" s="52"/>
      <c r="G30" s="5"/>
      <c r="H30" s="52"/>
      <c r="I30" s="52"/>
      <c r="J30" s="52"/>
      <c r="K30" s="3"/>
    </row>
    <row r="31" spans="1:11" ht="15" customHeight="1" x14ac:dyDescent="0.4">
      <c r="A31" s="3"/>
      <c r="B31" s="42" t="str">
        <f>'2 Stand Configurator'!G23</f>
        <v>Sonis3 Headbanded Ear defender - SNR 37</v>
      </c>
      <c r="C31" s="41" t="str">
        <f>'2 Stand Configurator'!B23</f>
        <v>AEB040-0A1-A00</v>
      </c>
      <c r="D31" s="41">
        <f>SUM('2 Stand Configurator'!N23*'2 Stand Configurator'!Z31)</f>
        <v>10</v>
      </c>
      <c r="E31" s="52"/>
      <c r="F31" s="52"/>
      <c r="G31" s="5"/>
      <c r="H31" s="52"/>
      <c r="I31" s="52"/>
      <c r="J31" s="52"/>
      <c r="K31" s="3"/>
    </row>
    <row r="32" spans="1:11" ht="15" customHeight="1" x14ac:dyDescent="0.4">
      <c r="A32" s="3"/>
      <c r="B32" s="42" t="str">
        <f>'2 Stand Configurator'!G24</f>
        <v>Sonis1 Headbanded Ear defender - SNR 27</v>
      </c>
      <c r="C32" s="41" t="str">
        <f>'2 Stand Configurator'!B24</f>
        <v>AEB010-0AY-800</v>
      </c>
      <c r="D32" s="41">
        <f>SUM('2 Stand Configurator'!N24*'2 Stand Configurator'!Z31)</f>
        <v>10</v>
      </c>
      <c r="E32" s="52"/>
      <c r="F32" s="52"/>
      <c r="G32" s="5"/>
      <c r="H32" s="52"/>
      <c r="I32" s="52"/>
      <c r="J32" s="52"/>
      <c r="K32" s="3"/>
    </row>
    <row r="33" spans="1:11" ht="15" customHeight="1" x14ac:dyDescent="0.4">
      <c r="A33" s="3"/>
      <c r="B33" s="42" t="str">
        <f>'2 Stand Configurator'!G25</f>
        <v>SonisC Headbanded Ear defender - SNR 32</v>
      </c>
      <c r="C33" s="41" t="str">
        <f>'2 Stand Configurator'!B25</f>
        <v>AEB030-0AY-000</v>
      </c>
      <c r="D33" s="41">
        <f>SUM('2 Stand Configurator'!N25*'2 Stand Configurator'!Z31)</f>
        <v>10</v>
      </c>
      <c r="E33" s="52"/>
      <c r="F33" s="52"/>
      <c r="G33" s="5"/>
      <c r="H33" s="52"/>
      <c r="I33" s="52"/>
      <c r="J33" s="52"/>
      <c r="K33" s="3"/>
    </row>
    <row r="34" spans="1:11" ht="15" customHeight="1" x14ac:dyDescent="0.4">
      <c r="A34" s="3"/>
      <c r="B34" s="42" t="str">
        <f>'2 Stand Configurator'!G26</f>
        <v>Sonis3 Headbanded Ear defender - SNR 37</v>
      </c>
      <c r="C34" s="41" t="str">
        <f>'2 Stand Configurator'!B26</f>
        <v>AEB040-0A1-A00</v>
      </c>
      <c r="D34" s="41">
        <f>SUM('2 Stand Configurator'!N26*'2 Stand Configurator'!Z31)</f>
        <v>10</v>
      </c>
      <c r="E34" s="52"/>
      <c r="F34" s="52"/>
      <c r="G34" s="5"/>
      <c r="H34" s="52"/>
      <c r="I34" s="52"/>
      <c r="J34" s="52"/>
      <c r="K34" s="3"/>
    </row>
    <row r="35" spans="1:11" ht="15" customHeight="1" x14ac:dyDescent="0.4">
      <c r="A35" s="3"/>
      <c r="B35" s="42" t="str">
        <f>'2 Stand Configurator'!G27</f>
        <v>SoundStopper Banded Ear Plug</v>
      </c>
      <c r="C35" s="41" t="str">
        <f>'2 Stand Configurator'!B27</f>
        <v>AEE090-070-21X</v>
      </c>
      <c r="D35" s="41">
        <f>SUM('2 Stand Configurator'!N27*'2 Stand Configurator'!Z31)</f>
        <v>40</v>
      </c>
      <c r="E35" s="52"/>
      <c r="F35" s="52"/>
      <c r="G35" s="5"/>
      <c r="H35" s="52"/>
      <c r="I35" s="52"/>
      <c r="J35" s="52"/>
      <c r="K35" s="3"/>
    </row>
    <row r="36" spans="1:11" ht="15.75" customHeight="1" x14ac:dyDescent="0.4">
      <c r="A36" s="3"/>
      <c r="B36" s="42" t="str">
        <f>'2 Stand Configurator'!G28</f>
        <v>SoundStopper Banded Ear Plug</v>
      </c>
      <c r="C36" s="41" t="str">
        <f>'2 Stand Configurator'!B28</f>
        <v>AEE090-070-21X</v>
      </c>
      <c r="D36" s="41">
        <f>SUM('2 Stand Configurator'!N28*'2 Stand Configurator'!Z31)</f>
        <v>40</v>
      </c>
      <c r="E36" s="52"/>
      <c r="F36" s="52"/>
      <c r="G36" s="5"/>
      <c r="H36" s="52"/>
      <c r="I36" s="52"/>
      <c r="J36" s="52"/>
      <c r="K36" s="3"/>
    </row>
    <row r="37" spans="1:11" ht="15.75" customHeight="1" x14ac:dyDescent="0.4">
      <c r="A37" s="3"/>
      <c r="B37" s="42" t="str">
        <f>'2 Stand Configurator'!G29</f>
        <v>SonisC Helmet Mounted Ear defender - SNR 31</v>
      </c>
      <c r="C37" s="41" t="str">
        <f>'2 Stand Configurator'!B29</f>
        <v>AEB030-0CY-000</v>
      </c>
      <c r="D37" s="41">
        <f>SUM('2 Stand Configurator'!N29*'2 Stand Configurator'!Z31)</f>
        <v>10</v>
      </c>
      <c r="E37" s="52"/>
      <c r="F37" s="52"/>
      <c r="G37" s="5"/>
      <c r="H37" s="52"/>
      <c r="I37" s="52"/>
      <c r="J37" s="52"/>
      <c r="K37" s="3"/>
    </row>
    <row r="38" spans="1:11" ht="15" customHeight="1" x14ac:dyDescent="0.4">
      <c r="A38" s="3"/>
      <c r="B38" s="42" t="str">
        <f>'2 Stand Configurator'!G30</f>
        <v>SonisC Helmet Mounted Ear defender - SNR 31</v>
      </c>
      <c r="C38" s="41" t="str">
        <f>'2 Stand Configurator'!B30</f>
        <v>AEB030-0CY-000</v>
      </c>
      <c r="D38" s="41">
        <f>SUM('2 Stand Configurator'!N30*'2 Stand Configurator'!Z31)</f>
        <v>10</v>
      </c>
      <c r="E38" s="52"/>
      <c r="F38" s="52"/>
      <c r="G38" s="5"/>
      <c r="H38" s="52"/>
      <c r="I38" s="52"/>
      <c r="J38" s="52"/>
      <c r="K38" s="3"/>
    </row>
    <row r="39" spans="1:11" ht="15" customHeight="1" x14ac:dyDescent="0.4">
      <c r="A39" s="3"/>
      <c r="B39" s="42" t="str">
        <f>'2 Stand Configurator'!G31</f>
        <v>HardCap AeroLite - BumpCap - Black</v>
      </c>
      <c r="C39" s="41" t="str">
        <f>'2 Stand Configurator'!B31</f>
        <v>AAF000-001-100</v>
      </c>
      <c r="D39" s="41">
        <f>SUM('2 Stand Configurator'!N31*'2 Stand Configurator'!Z31)</f>
        <v>20</v>
      </c>
      <c r="E39" s="52"/>
      <c r="F39" s="52"/>
      <c r="G39" s="5"/>
      <c r="H39" s="52"/>
      <c r="I39" s="52"/>
      <c r="J39" s="52"/>
      <c r="K39" s="3"/>
    </row>
    <row r="40" spans="1:11" ht="15" customHeight="1" x14ac:dyDescent="0.4">
      <c r="A40" s="3"/>
      <c r="B40" s="42" t="str">
        <f>'2 Stand Configurator'!G32</f>
        <v>EVO2 Safety Helmet - Vented - White</v>
      </c>
      <c r="C40" s="41" t="str">
        <f>'2 Stand Configurator'!B32</f>
        <v>AJF030-000-100</v>
      </c>
      <c r="D40" s="41">
        <f>SUM('2 Stand Configurator'!N32*'2 Stand Configurator'!Z31)</f>
        <v>10</v>
      </c>
      <c r="E40" s="52"/>
      <c r="F40" s="52"/>
      <c r="G40" s="5"/>
      <c r="H40" s="52"/>
      <c r="I40" s="52"/>
      <c r="J40" s="52"/>
      <c r="K40" s="3"/>
    </row>
    <row r="41" spans="1:11" ht="15" customHeight="1" x14ac:dyDescent="0.4">
      <c r="A41" s="3"/>
      <c r="B41" s="42" t="str">
        <f>'2 Stand Configurator'!G33</f>
        <v>EVOLite Safety Helmet - Vented - White</v>
      </c>
      <c r="C41" s="41" t="str">
        <f>'2 Stand Configurator'!B33</f>
        <v>AJB170-000-100</v>
      </c>
      <c r="D41" s="41">
        <f>SUM('2 Stand Configurator'!N33*'2 Stand Configurator'!Z31)</f>
        <v>10</v>
      </c>
      <c r="E41" s="52"/>
      <c r="F41" s="52"/>
      <c r="G41" s="5"/>
      <c r="H41" s="52"/>
      <c r="I41" s="52"/>
      <c r="J41" s="52"/>
      <c r="K41" s="3"/>
    </row>
    <row r="42" spans="1:11" ht="15" customHeight="1" x14ac:dyDescent="0.4">
      <c r="A42" s="3"/>
      <c r="B42" s="42" t="str">
        <f>'2 Stand Configurator'!G34</f>
        <v>EVOLite Skyworker - Working at Height Helmet</v>
      </c>
      <c r="C42" s="41" t="str">
        <f>'2 Stand Configurator'!B34</f>
        <v>AJS260-000-100</v>
      </c>
      <c r="D42" s="41">
        <f>SUM('2 Stand Configurator'!N34*'2 Stand Configurator'!Z31)</f>
        <v>1</v>
      </c>
      <c r="E42" s="52"/>
      <c r="F42" s="52"/>
      <c r="G42" s="5"/>
      <c r="H42" s="52"/>
      <c r="I42" s="52"/>
      <c r="J42" s="52"/>
      <c r="K42" s="3"/>
    </row>
    <row r="43" spans="1:11" ht="15" customHeight="1" x14ac:dyDescent="0.4">
      <c r="A43" s="3"/>
      <c r="B43" s="42" t="str">
        <f>'2 Stand Configurator'!G35</f>
        <v>SpringFit Disposable Mask - FFP2V</v>
      </c>
      <c r="C43" s="41" t="str">
        <f>'2 Stand Configurator'!B35</f>
        <v>BGA172-202-N00</v>
      </c>
      <c r="D43" s="41">
        <f>SUM('2 Stand Configurator'!N35*'2 Stand Configurator'!Z31)</f>
        <v>10</v>
      </c>
      <c r="E43" s="52"/>
      <c r="F43" s="52"/>
      <c r="G43" s="5"/>
      <c r="H43" s="52"/>
      <c r="I43" s="52"/>
      <c r="J43" s="52"/>
      <c r="K43" s="3"/>
    </row>
    <row r="44" spans="1:11" ht="15" customHeight="1" x14ac:dyDescent="0.4">
      <c r="A44" s="3"/>
      <c r="B44" s="42" t="str">
        <f>'2 Stand Configurator'!G36</f>
        <v>SpringFit Disposable Mask - FFP3V</v>
      </c>
      <c r="C44" s="41" t="str">
        <f>'2 Stand Configurator'!B36</f>
        <v>BGA182-206-N00</v>
      </c>
      <c r="D44" s="41">
        <f>SUM('2 Stand Configurator'!N36*'2 Stand Configurator'!Z31)</f>
        <v>10</v>
      </c>
      <c r="E44" s="52"/>
      <c r="F44" s="52"/>
      <c r="G44" s="5"/>
      <c r="H44" s="52"/>
      <c r="I44" s="52"/>
      <c r="J44" s="52"/>
      <c r="K44" s="3"/>
    </row>
    <row r="45" spans="1:11" ht="15" customHeight="1" x14ac:dyDescent="0.4">
      <c r="A45" s="3"/>
      <c r="B45" s="42" t="str">
        <f>'2 Stand Configurator'!G37</f>
        <v>SpringFit Disposable Mask - FFP3V</v>
      </c>
      <c r="C45" s="41" t="str">
        <f>'2 Stand Configurator'!B37</f>
        <v>BGA182-206-N00</v>
      </c>
      <c r="D45" s="41">
        <f>SUM('2 Stand Configurator'!N37*'2 Stand Configurator'!Z31)</f>
        <v>10</v>
      </c>
      <c r="E45" s="52"/>
      <c r="F45" s="52"/>
      <c r="G45" s="5"/>
      <c r="H45" s="52"/>
      <c r="I45" s="52"/>
      <c r="J45" s="52"/>
      <c r="K45" s="3"/>
    </row>
    <row r="46" spans="1:11" ht="15" customHeight="1" x14ac:dyDescent="0.4">
      <c r="A46" s="3"/>
      <c r="B46" s="42" t="str">
        <f>'2 Stand Configurator'!G38</f>
        <v>SpringFit Disposable Mask - FFP3OV</v>
      </c>
      <c r="C46" s="41" t="str">
        <f>'2 Stand Configurator'!B38</f>
        <v>BGA802-206-N00</v>
      </c>
      <c r="D46" s="41">
        <f>SUM('2 Stand Configurator'!N38*'2 Stand Configurator'!Z31)</f>
        <v>10</v>
      </c>
      <c r="E46" s="52"/>
      <c r="F46" s="52"/>
      <c r="G46" s="5"/>
      <c r="H46" s="52"/>
      <c r="I46" s="52"/>
      <c r="J46" s="52"/>
      <c r="K46" s="3"/>
    </row>
    <row r="47" spans="1:11" ht="15" customHeight="1" x14ac:dyDescent="0.4">
      <c r="A47" s="3"/>
      <c r="B47" s="42" t="str">
        <f>'2 Stand Configurator'!G39</f>
        <v>Flexinet Disposable Mask - FFP2V</v>
      </c>
      <c r="C47" s="41" t="str">
        <f>'2 Stand Configurator'!B39</f>
        <v>BER122-201-L1X</v>
      </c>
      <c r="D47" s="41">
        <f>SUM('2 Stand Configurator'!N39*'2 Stand Configurator'!Z31)</f>
        <v>30</v>
      </c>
      <c r="E47" s="52"/>
      <c r="F47" s="52"/>
      <c r="G47" s="5"/>
      <c r="H47" s="52"/>
      <c r="I47" s="52"/>
      <c r="J47" s="52"/>
      <c r="K47" s="3"/>
    </row>
    <row r="48" spans="1:11" ht="15" customHeight="1" x14ac:dyDescent="0.4">
      <c r="A48" s="3"/>
      <c r="B48" s="42" t="str">
        <f>'2 Stand Configurator'!G40</f>
        <v>Flexinet Disposable Mask - FFP3V</v>
      </c>
      <c r="C48" s="41" t="str">
        <f>'2 Stand Configurator'!B40</f>
        <v>BER130-001-L1X</v>
      </c>
      <c r="D48" s="41">
        <f>SUM('2 Stand Configurator'!N40*'2 Stand Configurator'!Z31)</f>
        <v>30</v>
      </c>
      <c r="E48" s="52"/>
      <c r="F48" s="52"/>
      <c r="G48" s="5"/>
      <c r="H48" s="52"/>
      <c r="I48" s="52"/>
      <c r="J48" s="52"/>
      <c r="K48" s="3"/>
    </row>
    <row r="49" spans="1:11" ht="15" customHeight="1" x14ac:dyDescent="0.4">
      <c r="A49" s="3"/>
      <c r="B49" s="42" t="str">
        <f>'2 Stand Configurator'!G41</f>
        <v>Force8  - with P3 PressToCheck Filters</v>
      </c>
      <c r="C49" s="41" t="str">
        <f>'2 Stand Configurator'!B41</f>
        <v>BHT0A3-0L5-N00</v>
      </c>
      <c r="D49" s="41">
        <f>SUM('2 Stand Configurator'!N41*'2 Stand Configurator'!Z31)</f>
        <v>10</v>
      </c>
      <c r="E49" s="52"/>
      <c r="F49" s="52"/>
      <c r="G49" s="5"/>
      <c r="H49" s="52"/>
      <c r="I49" s="52"/>
      <c r="J49" s="52"/>
      <c r="K49" s="3"/>
    </row>
    <row r="50" spans="1:11" ht="15" customHeight="1" x14ac:dyDescent="0.4">
      <c r="A50" s="3"/>
      <c r="B50" s="42" t="str">
        <f>'2 Stand Configurator'!G42</f>
        <v>Force8  - with P3 PressToCheck Filters</v>
      </c>
      <c r="C50" s="41" t="str">
        <f>'2 Stand Configurator'!B42</f>
        <v>BHT0A3-0L5-N00</v>
      </c>
      <c r="D50" s="41">
        <f>SUM('2 Stand Configurator'!N42*'2 Stand Configurator'!Z31)</f>
        <v>10</v>
      </c>
      <c r="E50" s="52"/>
      <c r="F50" s="52"/>
      <c r="G50" s="5"/>
      <c r="H50" s="52"/>
      <c r="I50" s="52"/>
      <c r="J50" s="52"/>
      <c r="K50" s="3"/>
    </row>
    <row r="51" spans="1:11" ht="15" customHeight="1" x14ac:dyDescent="0.4">
      <c r="A51" s="3"/>
      <c r="B51" s="42" t="str">
        <f>'2 Stand Configurator'!G43</f>
        <v>Force8  - with P3 PressToCheck Filters</v>
      </c>
      <c r="C51" s="41" t="str">
        <f>'2 Stand Configurator'!B43</f>
        <v>BHT0A3-0L5-N00</v>
      </c>
      <c r="D51" s="41">
        <f>SUM('2 Stand Configurator'!N43*'2 Stand Configurator'!Z31)</f>
        <v>10</v>
      </c>
      <c r="E51" s="52"/>
      <c r="F51" s="52"/>
      <c r="G51" s="5"/>
      <c r="H51" s="52"/>
      <c r="I51" s="52"/>
      <c r="J51" s="52"/>
      <c r="K51" s="3"/>
    </row>
    <row r="52" spans="1:11" ht="15" customHeight="1" x14ac:dyDescent="0.4">
      <c r="A52" s="3"/>
      <c r="B52" s="42" t="str">
        <f>'2 Stand Configurator'!G44</f>
        <v xml:space="preserve">PressToCheck Filters - P3 </v>
      </c>
      <c r="C52" s="41" t="str">
        <f>'2 Stand Configurator'!B44</f>
        <v>BMN990-001-700</v>
      </c>
      <c r="D52" s="41">
        <f>SUM('2 Stand Configurator'!N44*'2 Stand Configurator'!Z31)</f>
        <v>10</v>
      </c>
      <c r="E52" s="52"/>
      <c r="F52" s="52"/>
      <c r="G52" s="5"/>
      <c r="H52" s="52"/>
      <c r="I52" s="52"/>
      <c r="J52" s="52"/>
      <c r="K52" s="3"/>
    </row>
    <row r="53" spans="1:11" ht="15" customHeight="1" x14ac:dyDescent="0.4">
      <c r="A53" s="3"/>
      <c r="B53" s="42" t="str">
        <f>'2 Stand Configurator'!G45</f>
        <v xml:space="preserve">PressToCheck Filters - P3 </v>
      </c>
      <c r="C53" s="41" t="str">
        <f>'2 Stand Configurator'!B45</f>
        <v>BMN990-001-700</v>
      </c>
      <c r="D53" s="41">
        <f>SUM('2 Stand Configurator'!N45*'2 Stand Configurator'!Z31)</f>
        <v>10</v>
      </c>
      <c r="E53" s="52"/>
      <c r="F53" s="52"/>
      <c r="G53" s="5"/>
      <c r="H53" s="52"/>
      <c r="I53" s="52"/>
      <c r="J53" s="52"/>
      <c r="K53" s="3"/>
    </row>
    <row r="54" spans="1:11" ht="15" customHeight="1" x14ac:dyDescent="0.4">
      <c r="A54" s="3"/>
      <c r="B54" s="42" t="str">
        <f>'2 Stand Configurator'!G46</f>
        <v xml:space="preserve">PressToCheck Filters - A2P3 </v>
      </c>
      <c r="C54" s="41" t="str">
        <f>'2 Stand Configurator'!B46</f>
        <v>BMN740-000-600</v>
      </c>
      <c r="D54" s="41">
        <f>SUM('2 Stand Configurator'!N46*'2 Stand Configurator'!Z31)</f>
        <v>10</v>
      </c>
      <c r="E54" s="52"/>
      <c r="F54" s="52"/>
      <c r="G54" s="5"/>
      <c r="H54" s="52"/>
      <c r="I54" s="52"/>
      <c r="J54" s="52"/>
      <c r="K54" s="3"/>
    </row>
    <row r="55" spans="1:11" ht="15" customHeight="1" x14ac:dyDescent="0.4">
      <c r="A55" s="3"/>
      <c r="B55" s="42" t="str">
        <f>'2 Stand Configurator'!G47</f>
        <v xml:space="preserve">PressToCheck Filters - ABEK1P3 </v>
      </c>
      <c r="C55" s="41" t="str">
        <f>'2 Stand Configurator'!B47</f>
        <v>BMN750-000-600</v>
      </c>
      <c r="D55" s="41">
        <f>SUM('2 Stand Configurator'!N47*'2 Stand Configurator'!Z31)</f>
        <v>10</v>
      </c>
      <c r="E55" s="52"/>
      <c r="F55" s="52"/>
      <c r="G55" s="5"/>
      <c r="H55" s="52"/>
      <c r="I55" s="52"/>
      <c r="J55" s="52"/>
      <c r="K55" s="3"/>
    </row>
    <row r="56" spans="1:11" ht="15" customHeight="1" x14ac:dyDescent="0.4">
      <c r="A56" s="3"/>
      <c r="B56" s="42" t="str">
        <f>'2 Stand Configurator'!G48</f>
        <v>Force8 - HalfMask without Filters - Medium</v>
      </c>
      <c r="C56" s="41" t="str">
        <f>'2 Stand Configurator'!B48</f>
        <v>BHT003-0L5-000</v>
      </c>
      <c r="D56" s="41">
        <f>SUM('2 Stand Configurator'!N48*'2 Stand Configurator'!Z31)</f>
        <v>10</v>
      </c>
      <c r="E56" s="52"/>
      <c r="F56" s="52"/>
      <c r="G56" s="5"/>
      <c r="H56" s="52"/>
      <c r="I56" s="52"/>
      <c r="J56" s="52"/>
      <c r="K56" s="3"/>
    </row>
    <row r="57" spans="1:11" ht="15" customHeight="1" x14ac:dyDescent="0.4">
      <c r="A57" s="3"/>
      <c r="B57" s="42" t="str">
        <f>'2 Stand Configurator'!G49</f>
        <v>Force8 - HalfMask without Filters - Medium</v>
      </c>
      <c r="C57" s="41" t="str">
        <f>'2 Stand Configurator'!B49</f>
        <v>BHT003-0L5-000</v>
      </c>
      <c r="D57" s="41">
        <f>SUM('2 Stand Configurator'!N49*'2 Stand Configurator'!Z31)</f>
        <v>10</v>
      </c>
      <c r="E57" s="52"/>
      <c r="F57" s="52"/>
      <c r="G57" s="5"/>
      <c r="H57" s="52"/>
      <c r="I57" s="52"/>
      <c r="J57" s="52"/>
      <c r="K57" s="3"/>
    </row>
    <row r="58" spans="1:11" ht="15" customHeight="1" x14ac:dyDescent="0.4">
      <c r="A58" s="3"/>
      <c r="B58" s="42" t="str">
        <f>'2 Stand Configurator'!G50</f>
        <v>Force10 - FullFace Mask - Medium</v>
      </c>
      <c r="C58" s="41" t="str">
        <f>'2 Stand Configurator'!B50</f>
        <v>BPB003-004-000</v>
      </c>
      <c r="D58" s="41">
        <f>SUM('2 Stand Configurator'!N50*'2 Stand Configurator'!Z31)</f>
        <v>1</v>
      </c>
      <c r="E58" s="52"/>
      <c r="F58" s="52"/>
      <c r="G58" s="5"/>
      <c r="H58" s="52"/>
      <c r="I58" s="52"/>
      <c r="J58" s="52"/>
      <c r="K58" s="3"/>
    </row>
    <row r="59" spans="1:11" ht="15" customHeight="1" x14ac:dyDescent="0.4">
      <c r="A59" s="3"/>
      <c r="B59" s="42" t="str">
        <f>'2 Stand Configurator'!G51</f>
        <v xml:space="preserve">BushMaster Landscaping unit - Polycarb </v>
      </c>
      <c r="C59" s="41" t="str">
        <f>'2 Stand Configurator'!B51</f>
        <v>AFZ061-131-100</v>
      </c>
      <c r="D59" s="41">
        <f>SUM('2 Stand Configurator'!N51*'2 Stand Configurator'!Z31)</f>
        <v>1</v>
      </c>
      <c r="E59" s="52"/>
      <c r="F59" s="52"/>
      <c r="G59" s="5"/>
      <c r="H59" s="52"/>
      <c r="I59" s="52"/>
      <c r="J59" s="52"/>
      <c r="K59" s="3"/>
    </row>
    <row r="60" spans="1:11" ht="15" customHeight="1" x14ac:dyDescent="0.4">
      <c r="A60" s="3"/>
      <c r="B60" s="42" t="str">
        <f>'2 Stand Configurator'!G52</f>
        <v>BushMaster Landscaping unit - Wire guaze</v>
      </c>
      <c r="C60" s="41" t="str">
        <f>'2 Stand Configurator'!B52</f>
        <v>AFZ101-131-100</v>
      </c>
      <c r="D60" s="41">
        <f>SUM('2 Stand Configurator'!N52*'2 Stand Configurator'!Z31)</f>
        <v>1</v>
      </c>
      <c r="E60" s="52"/>
      <c r="F60" s="52"/>
      <c r="G60" s="5"/>
      <c r="H60" s="52"/>
      <c r="I60" s="52"/>
      <c r="J60" s="52"/>
      <c r="K60" s="3"/>
    </row>
    <row r="61" spans="1:11" ht="15" customHeight="1" x14ac:dyDescent="0.4">
      <c r="A61" s="3"/>
      <c r="B61" s="42" t="str">
        <f>'2 Stand Configurator'!G53</f>
        <v>EVOLite Forester Forestry unit</v>
      </c>
      <c r="C61" s="41" t="str">
        <f>'2 Stand Configurator'!B53</f>
        <v>AJA242-560-800</v>
      </c>
      <c r="D61" s="41">
        <f>SUM('2 Stand Configurator'!N53*'2 Stand Configurator'!Z31)</f>
        <v>1</v>
      </c>
      <c r="E61" s="52"/>
      <c r="F61" s="52"/>
      <c r="G61" s="5"/>
      <c r="H61" s="52"/>
      <c r="I61" s="52"/>
      <c r="J61" s="52"/>
      <c r="K61" s="3"/>
    </row>
    <row r="62" spans="1:11" ht="15" customHeight="1" x14ac:dyDescent="0.4">
      <c r="A62" s="3"/>
      <c r="B62" s="44"/>
      <c r="C62" s="43"/>
      <c r="D62" s="43"/>
      <c r="E62" s="52"/>
      <c r="F62" s="52"/>
      <c r="G62" s="5"/>
      <c r="H62" s="52"/>
      <c r="I62" s="52"/>
      <c r="J62" s="52"/>
      <c r="K62" s="3"/>
    </row>
    <row r="63" spans="1:11" ht="15" customHeight="1" x14ac:dyDescent="0.4">
      <c r="A63" s="3"/>
      <c r="B63" s="39" t="s">
        <v>183</v>
      </c>
      <c r="C63" s="9" t="s">
        <v>53</v>
      </c>
      <c r="D63" s="18" t="s">
        <v>159</v>
      </c>
      <c r="E63" s="52"/>
      <c r="F63" s="52"/>
      <c r="G63" s="5"/>
      <c r="H63" s="52"/>
      <c r="I63" s="52"/>
      <c r="J63" s="52"/>
      <c r="K63" s="52"/>
    </row>
    <row r="64" spans="1:11" ht="5.15" customHeight="1" x14ac:dyDescent="0.4">
      <c r="A64" s="3"/>
      <c r="B64" s="44"/>
      <c r="C64" s="43"/>
      <c r="D64" s="43"/>
      <c r="E64" s="52"/>
      <c r="F64" s="43"/>
      <c r="G64" s="43"/>
      <c r="H64" s="52"/>
      <c r="I64" s="52"/>
      <c r="J64" s="52"/>
      <c r="K64" s="52"/>
    </row>
    <row r="65" spans="1:11" ht="15" hidden="1" customHeight="1" x14ac:dyDescent="0.4">
      <c r="A65" s="3"/>
      <c r="B65" s="187" t="str">
        <f>'Product List'!B5</f>
        <v>EVOLite Safety Helmet - NonVented - White</v>
      </c>
      <c r="C65" s="41" t="str">
        <f>'Product List'!E5</f>
        <v>RPKE-000-001</v>
      </c>
      <c r="D65" s="191">
        <f>SUMPRODUCT((F191:J214="RPKE-000-001")*('2 Stand Configurator'!Z31))</f>
        <v>0</v>
      </c>
      <c r="E65" s="52"/>
      <c r="F65" s="52"/>
      <c r="G65" s="5"/>
      <c r="H65" s="52"/>
      <c r="I65" s="52"/>
      <c r="J65" s="52"/>
      <c r="K65" s="52"/>
    </row>
    <row r="66" spans="1:11" x14ac:dyDescent="0.4">
      <c r="A66" s="3"/>
      <c r="B66" s="187" t="str">
        <f>'Product List'!B6</f>
        <v>EVOLite Safety Helmet - Vented - White</v>
      </c>
      <c r="C66" s="41" t="str">
        <f>'Product List'!E6</f>
        <v>RPKE-000-002</v>
      </c>
      <c r="D66" s="191">
        <f>SUMPRODUCT((F191:J214="RPKE-000-002")*('2 Stand Configurator'!Z31))</f>
        <v>1</v>
      </c>
      <c r="E66" s="52"/>
      <c r="F66" s="52"/>
      <c r="G66" s="5"/>
      <c r="H66" s="52"/>
      <c r="I66" s="52"/>
      <c r="J66" s="52"/>
      <c r="K66" s="52"/>
    </row>
    <row r="67" spans="1:11" ht="15" hidden="1" customHeight="1" x14ac:dyDescent="0.4">
      <c r="A67" s="3"/>
      <c r="B67" s="187" t="str">
        <f>'Product List'!B7</f>
        <v>EVO2 Safety Helmet - NonVented - White</v>
      </c>
      <c r="C67" s="41" t="str">
        <f>'Product List'!E7</f>
        <v>RPKE-000-003</v>
      </c>
      <c r="D67" s="191">
        <f>SUMPRODUCT((F191:J214="RPKE-000-003")*('2 Stand Configurator'!Z31))</f>
        <v>0</v>
      </c>
      <c r="E67" s="52"/>
      <c r="F67" s="52"/>
      <c r="G67" s="5"/>
      <c r="H67" s="52"/>
      <c r="I67" s="52"/>
      <c r="J67" s="52"/>
      <c r="K67" s="52"/>
    </row>
    <row r="68" spans="1:11" ht="15" customHeight="1" x14ac:dyDescent="0.4">
      <c r="A68" s="3"/>
      <c r="B68" s="187" t="str">
        <f>'Product List'!B9</f>
        <v>EVO2 Safety Helmet - Vented - Black</v>
      </c>
      <c r="C68" s="41" t="str">
        <f>'Product List'!E9</f>
        <v>RPKE-000-004</v>
      </c>
      <c r="D68" s="191">
        <f>SUMPRODUCT((F191:J214="RPKE-000-004")*('2 Stand Configurator'!Z31))</f>
        <v>1</v>
      </c>
      <c r="E68" s="52"/>
      <c r="F68" s="52"/>
      <c r="G68" s="5"/>
      <c r="H68" s="52"/>
      <c r="I68" s="52"/>
      <c r="J68" s="52"/>
      <c r="K68" s="52"/>
    </row>
    <row r="69" spans="1:11" ht="15" customHeight="1" x14ac:dyDescent="0.4">
      <c r="A69" s="3"/>
      <c r="B69" s="187" t="str">
        <f>'Product List'!B10</f>
        <v>HardCap AeroLite - BumpCap - Black</v>
      </c>
      <c r="C69" s="41" t="str">
        <f>'Product List'!E10</f>
        <v>RPKE-000-005</v>
      </c>
      <c r="D69" s="191">
        <f>SUMPRODUCT((F191:J214="RPKE-000-005")*('2 Stand Configurator'!Z31))</f>
        <v>1</v>
      </c>
      <c r="E69" s="52"/>
      <c r="F69" s="52"/>
      <c r="G69" s="5"/>
      <c r="H69" s="52"/>
      <c r="I69" s="52"/>
      <c r="J69" s="52"/>
      <c r="K69" s="52"/>
    </row>
    <row r="70" spans="1:11" ht="15" hidden="1" customHeight="1" x14ac:dyDescent="0.4">
      <c r="A70" s="3"/>
      <c r="B70" s="187" t="str">
        <f>'Product List'!B11</f>
        <v>HardCap AeroLite - BumpCap - Blue</v>
      </c>
      <c r="C70" s="41" t="str">
        <f>'Product List'!E11</f>
        <v>RPKE-000-006</v>
      </c>
      <c r="D70" s="191">
        <f>SUMPRODUCT((F191:J214="RPKE-000-006")*('2 Stand Configurator'!Z31))</f>
        <v>0</v>
      </c>
      <c r="E70" s="52"/>
      <c r="F70" s="52"/>
      <c r="G70" s="5"/>
      <c r="H70" s="52"/>
      <c r="I70" s="52"/>
      <c r="J70" s="52"/>
      <c r="K70" s="52"/>
    </row>
    <row r="71" spans="1:11" x14ac:dyDescent="0.4">
      <c r="A71" s="3"/>
      <c r="B71" s="187" t="str">
        <f>'Product List'!B12</f>
        <v>EVOLite Skyworker - Working at Height Helmet</v>
      </c>
      <c r="C71" s="41" t="str">
        <f>'Product List'!E12</f>
        <v>RPKE-000-007</v>
      </c>
      <c r="D71" s="191">
        <f>SUMPRODUCT((F191:J214="RPKE-000-007")*('2 Stand Configurator'!Z31))</f>
        <v>1</v>
      </c>
      <c r="E71" s="52"/>
      <c r="F71" s="52"/>
      <c r="G71" s="5"/>
      <c r="H71" s="52"/>
      <c r="I71" s="52"/>
      <c r="J71" s="52"/>
      <c r="K71" s="52"/>
    </row>
    <row r="72" spans="1:11" ht="15" hidden="1" customHeight="1" x14ac:dyDescent="0.4">
      <c r="A72" s="3"/>
      <c r="B72" s="187" t="str">
        <f>'Product List'!B13</f>
        <v>EVOVistaLens - Vented - White/Smoke</v>
      </c>
      <c r="C72" s="41" t="str">
        <f>'Product List'!E13</f>
        <v>RPKE-000-049</v>
      </c>
      <c r="D72" s="191">
        <f>SUMPRODUCT((F191:J214="RPKE-000-049")*('2 Stand Configurator'!Z31))</f>
        <v>0</v>
      </c>
      <c r="E72" s="52"/>
      <c r="F72" s="52"/>
      <c r="G72" s="5"/>
      <c r="H72" s="52"/>
      <c r="I72" s="52"/>
      <c r="J72" s="52"/>
      <c r="K72" s="52"/>
    </row>
    <row r="73" spans="1:11" ht="15" hidden="1" customHeight="1" x14ac:dyDescent="0.4">
      <c r="A73" s="3"/>
      <c r="B73" s="187" t="str">
        <f>'Product List'!B14</f>
        <v>EVOVistaShield - Vented - White/Smoke</v>
      </c>
      <c r="C73" s="41" t="str">
        <f>'Product List'!E14</f>
        <v>RPKE-000-XX1</v>
      </c>
      <c r="D73" s="191">
        <f>SUMPRODUCT((F191:J214="RPKE-000-XX1")*('2 Stand Configurator'!Z31))</f>
        <v>0</v>
      </c>
      <c r="E73" s="52"/>
      <c r="F73" s="52"/>
      <c r="G73" s="5"/>
      <c r="H73" s="52"/>
      <c r="I73" s="52"/>
      <c r="J73" s="52"/>
      <c r="K73" s="52"/>
    </row>
    <row r="74" spans="1:11" ht="15" hidden="1" customHeight="1" x14ac:dyDescent="0.4">
      <c r="A74" s="3"/>
      <c r="B74" s="187" t="str">
        <f>'Product List'!B15</f>
        <v>PPE Cleaning Sachets x 100</v>
      </c>
      <c r="C74" s="41" t="str">
        <f>'Product List'!E15</f>
        <v>RPKE-000-050</v>
      </c>
      <c r="D74" s="191">
        <f>SUMPRODUCT((F191:J214="RPKE-000-050")*('2 Stand Configurator'!Z31))</f>
        <v>0</v>
      </c>
      <c r="E74" s="52"/>
      <c r="F74" s="52"/>
      <c r="G74" s="52"/>
      <c r="H74" s="52"/>
      <c r="I74" s="52"/>
      <c r="J74" s="52"/>
      <c r="K74" s="52"/>
    </row>
    <row r="75" spans="1:11" x14ac:dyDescent="0.4">
      <c r="A75" s="3"/>
      <c r="B75" s="187" t="str">
        <f>'Product List'!B16</f>
        <v>SpringFit Disposable Mask - FFP2V</v>
      </c>
      <c r="C75" s="41" t="str">
        <f>'Product List'!E16</f>
        <v>RPKE-000-008</v>
      </c>
      <c r="D75" s="191">
        <f>SUMPRODUCT((F191:J214="RPKE-000-008")*('2 Stand Configurator'!Z31))</f>
        <v>1</v>
      </c>
      <c r="E75" s="52"/>
      <c r="F75" s="52"/>
      <c r="G75" s="52"/>
      <c r="H75" s="52"/>
      <c r="I75" s="52"/>
      <c r="J75" s="52"/>
      <c r="K75" s="52"/>
    </row>
    <row r="76" spans="1:11" ht="15" customHeight="1" x14ac:dyDescent="0.4">
      <c r="A76" s="3"/>
      <c r="B76" s="187" t="str">
        <f>'Product List'!B17</f>
        <v>SpringFit Disposable Mask - FFP3V</v>
      </c>
      <c r="C76" s="41" t="str">
        <f>'Product List'!E17</f>
        <v>RPKE-000-009</v>
      </c>
      <c r="D76" s="191">
        <f>SUMPRODUCT((F191:J214="RPKE-000-009")*('2 Stand Configurator'!Z31))</f>
        <v>2</v>
      </c>
      <c r="E76" s="52"/>
      <c r="F76" s="52"/>
      <c r="G76" s="52"/>
      <c r="H76" s="52"/>
      <c r="I76" s="52"/>
      <c r="J76" s="52"/>
      <c r="K76" s="52"/>
    </row>
    <row r="77" spans="1:11" ht="15" customHeight="1" x14ac:dyDescent="0.4">
      <c r="A77" s="3"/>
      <c r="B77" s="187" t="str">
        <f>'Product List'!B18</f>
        <v>SpringFit Disposable Mask - FFP3OV</v>
      </c>
      <c r="C77" s="41" t="str">
        <f>'Product List'!E18</f>
        <v>RPKE-000-010</v>
      </c>
      <c r="D77" s="191">
        <f>SUMPRODUCT((F191:J214="RPKE-000-010")*('2 Stand Configurator'!Z31))</f>
        <v>1</v>
      </c>
      <c r="E77" s="52"/>
      <c r="F77" s="52"/>
      <c r="G77" s="52"/>
      <c r="H77" s="52"/>
      <c r="I77" s="52"/>
      <c r="J77" s="52"/>
      <c r="K77" s="52"/>
    </row>
    <row r="78" spans="1:11" ht="15" hidden="1" customHeight="1" x14ac:dyDescent="0.4">
      <c r="A78" s="3"/>
      <c r="B78" s="187" t="str">
        <f>'Product List'!B19</f>
        <v>F621 Disposable Mask - FFP2 - x2</v>
      </c>
      <c r="C78" s="41" t="str">
        <f>'Product List'!E19</f>
        <v>RPKE-000-XX2</v>
      </c>
      <c r="D78" s="191">
        <f>SUMPRODUCT((F191:J214="RPKE-000-XX2")*('2 Stand Configurator'!Z31))</f>
        <v>0</v>
      </c>
      <c r="E78" s="52"/>
      <c r="F78" s="52"/>
      <c r="G78" s="52"/>
      <c r="H78" s="52"/>
      <c r="I78" s="52"/>
      <c r="J78" s="52"/>
      <c r="K78" s="52"/>
    </row>
    <row r="79" spans="1:11" ht="15" hidden="1" customHeight="1" x14ac:dyDescent="0.4">
      <c r="A79" s="3"/>
      <c r="B79" s="187" t="str">
        <f>'Product List'!B20</f>
        <v>F622 Disposable Mask - FFP2V - x 2</v>
      </c>
      <c r="C79" s="41" t="str">
        <f>'Product List'!E20</f>
        <v>RPKE-000-XX3</v>
      </c>
      <c r="D79" s="191">
        <f>SUMPRODUCT((F191:J214="RPKE-000-XX3")*('2 Stand Configurator'!Z31))</f>
        <v>0</v>
      </c>
      <c r="E79" s="52"/>
      <c r="F79" s="52"/>
      <c r="G79" s="52"/>
      <c r="H79" s="52"/>
      <c r="I79" s="52"/>
      <c r="J79" s="52"/>
      <c r="K79" s="52"/>
    </row>
    <row r="80" spans="1:11" ht="15" hidden="1" customHeight="1" x14ac:dyDescent="0.4">
      <c r="A80" s="3"/>
      <c r="B80" s="187" t="str">
        <f>'Product List'!B21</f>
        <v>F632 Disposable Mask - FFP3V - x2</v>
      </c>
      <c r="C80" s="41" t="str">
        <f>'Product List'!E21</f>
        <v>RPKE-000-XX4</v>
      </c>
      <c r="D80" s="191">
        <f>SUMPRODUCT((F191:J214="RPKE-000-XX4")*('2 Stand Configurator'!Z31))</f>
        <v>0</v>
      </c>
      <c r="E80" s="52"/>
      <c r="F80" s="52"/>
      <c r="G80" s="52"/>
      <c r="H80" s="52"/>
      <c r="I80" s="52"/>
      <c r="J80" s="52"/>
      <c r="K80" s="52"/>
    </row>
    <row r="81" spans="1:11" ht="15" customHeight="1" x14ac:dyDescent="0.4">
      <c r="A81" s="3"/>
      <c r="B81" s="187" t="str">
        <f>'Product List'!B22</f>
        <v>Flexinet Disposable Mask - FFP2V</v>
      </c>
      <c r="C81" s="41" t="str">
        <f>'Product List'!E22</f>
        <v>RPKE-000-011</v>
      </c>
      <c r="D81" s="191">
        <f>SUMPRODUCT((F191:J214="RPKE-000-011")*('2 Stand Configurator'!Z31))</f>
        <v>1</v>
      </c>
      <c r="E81" s="52"/>
      <c r="F81" s="52"/>
      <c r="G81" s="52"/>
      <c r="H81" s="52"/>
      <c r="I81" s="52"/>
      <c r="J81" s="52"/>
      <c r="K81" s="52"/>
    </row>
    <row r="82" spans="1:11" ht="15" customHeight="1" x14ac:dyDescent="0.4">
      <c r="A82" s="3"/>
      <c r="B82" s="187" t="str">
        <f>'Product List'!B23</f>
        <v>Flexinet Disposable Mask - FFP3V</v>
      </c>
      <c r="C82" s="41" t="str">
        <f>'Product List'!E23</f>
        <v>RPKE-000-012</v>
      </c>
      <c r="D82" s="191">
        <f>SUMPRODUCT((F191:J214="RPKE-000-012")*('2 Stand Configurator'!Z31))</f>
        <v>1</v>
      </c>
      <c r="E82" s="52"/>
      <c r="F82" s="52"/>
      <c r="G82" s="52"/>
      <c r="H82" s="52"/>
      <c r="I82" s="52"/>
      <c r="J82" s="52"/>
      <c r="K82" s="52"/>
    </row>
    <row r="83" spans="1:11" ht="15" customHeight="1" x14ac:dyDescent="0.4">
      <c r="A83" s="3"/>
      <c r="B83" s="187" t="str">
        <f>'Product List'!B24</f>
        <v>Force8 - HalfMask without Filters - Medium</v>
      </c>
      <c r="C83" s="41" t="str">
        <f>'Product List'!E24</f>
        <v>RPKE-000-013</v>
      </c>
      <c r="D83" s="191">
        <f>SUMPRODUCT((F191:J214="RPKE-000-013")*('2 Stand Configurator'!Z31))</f>
        <v>2</v>
      </c>
      <c r="E83" s="52"/>
      <c r="F83" s="52"/>
      <c r="G83" s="52"/>
      <c r="H83" s="52"/>
      <c r="I83" s="52"/>
      <c r="J83" s="52"/>
      <c r="K83" s="52"/>
    </row>
    <row r="84" spans="1:11" ht="15" hidden="1" customHeight="1" x14ac:dyDescent="0.4">
      <c r="A84" s="3"/>
      <c r="B84" s="187" t="str">
        <f>'Product List'!B25</f>
        <v>Force8 - HalfMask without Filters - Large</v>
      </c>
      <c r="C84" s="41" t="str">
        <f>'Product List'!E25</f>
        <v>RPKE-000-014</v>
      </c>
      <c r="D84" s="191">
        <f>SUMPRODUCT((F191:J214="RPKE-000-014")*('2 Stand Configurator'!Z31))</f>
        <v>0</v>
      </c>
      <c r="E84" s="52"/>
      <c r="F84" s="52"/>
      <c r="G84" s="52"/>
      <c r="H84" s="52"/>
      <c r="I84" s="52"/>
      <c r="J84" s="52"/>
      <c r="K84" s="52"/>
    </row>
    <row r="85" spans="1:11" ht="15" customHeight="1" x14ac:dyDescent="0.4">
      <c r="A85" s="3"/>
      <c r="B85" s="187" t="str">
        <f>'Product List'!B26</f>
        <v>Force8  - with P3 PressToCheck Filters</v>
      </c>
      <c r="C85" s="41" t="str">
        <f>'Product List'!E26</f>
        <v>RPKE-000-015</v>
      </c>
      <c r="D85" s="191">
        <f>SUMPRODUCT((F191:J214="RPKE-000-015")*('2 Stand Configurator'!Z31))</f>
        <v>3</v>
      </c>
      <c r="E85" s="52"/>
      <c r="F85" s="52"/>
      <c r="G85" s="52"/>
      <c r="H85" s="52"/>
      <c r="I85" s="52"/>
      <c r="J85" s="52"/>
      <c r="K85" s="52"/>
    </row>
    <row r="86" spans="1:11" x14ac:dyDescent="0.4">
      <c r="A86" s="3"/>
      <c r="B86" s="187" t="str">
        <f>'Product List'!B27</f>
        <v xml:space="preserve">PressToCheck Filters - P3 </v>
      </c>
      <c r="C86" s="41" t="str">
        <f>'Product List'!E27</f>
        <v>RPKE-000-016</v>
      </c>
      <c r="D86" s="191">
        <f>SUMPRODUCT((F191:J214="RPKE-000-016")*('2 Stand Configurator'!Z31))</f>
        <v>2</v>
      </c>
      <c r="E86" s="52"/>
      <c r="F86" s="52"/>
      <c r="G86" s="52"/>
      <c r="H86" s="52"/>
      <c r="I86" s="52"/>
      <c r="J86" s="52"/>
      <c r="K86" s="52"/>
    </row>
    <row r="87" spans="1:11" x14ac:dyDescent="0.4">
      <c r="A87" s="3"/>
      <c r="B87" s="187" t="str">
        <f>'Product List'!B28</f>
        <v xml:space="preserve">PressToCheck Filters - A2P3 </v>
      </c>
      <c r="C87" s="41" t="str">
        <f>'Product List'!E28</f>
        <v>RPKE-000-017</v>
      </c>
      <c r="D87" s="191">
        <f>SUMPRODUCT((F191:J214="RPKE-000-017")*('2 Stand Configurator'!Z31))</f>
        <v>1</v>
      </c>
      <c r="E87" s="52"/>
      <c r="F87" s="52"/>
      <c r="G87" s="52"/>
      <c r="H87" s="52"/>
      <c r="I87" s="52"/>
      <c r="J87" s="52"/>
      <c r="K87" s="52"/>
    </row>
    <row r="88" spans="1:11" x14ac:dyDescent="0.4">
      <c r="A88" s="3"/>
      <c r="B88" s="187" t="str">
        <f>'Product List'!B29</f>
        <v xml:space="preserve">PressToCheck Filters - ABEK1P3 </v>
      </c>
      <c r="C88" s="41" t="str">
        <f>'Product List'!E29</f>
        <v>RPKE-000-018</v>
      </c>
      <c r="D88" s="191">
        <f>SUMPRODUCT((F191:J214="RPKE-000-018")*('2 Stand Configurator'!Z31))</f>
        <v>1</v>
      </c>
      <c r="E88" s="52"/>
      <c r="F88" s="52"/>
      <c r="G88" s="52"/>
      <c r="H88" s="52"/>
      <c r="I88" s="52"/>
      <c r="J88" s="52"/>
      <c r="K88" s="52"/>
    </row>
    <row r="89" spans="1:11" x14ac:dyDescent="0.4">
      <c r="A89" s="3"/>
      <c r="B89" s="187" t="e">
        <f>'Product List'!#REF!</f>
        <v>#REF!</v>
      </c>
      <c r="C89" s="41" t="e">
        <f>'Product List'!#REF!</f>
        <v>#REF!</v>
      </c>
      <c r="D89" s="191">
        <f>SUMPRODUCT((F191:J214="RPKE-000-019")*('2 Stand Configurator'!Z31))</f>
        <v>0</v>
      </c>
      <c r="E89" s="52"/>
      <c r="F89" s="52"/>
      <c r="G89" s="52"/>
      <c r="H89" s="52"/>
      <c r="I89" s="52"/>
      <c r="J89" s="52"/>
      <c r="K89" s="52"/>
    </row>
    <row r="90" spans="1:11" x14ac:dyDescent="0.4">
      <c r="A90" s="3"/>
      <c r="B90" s="187" t="e">
        <f>'Product List'!#REF!</f>
        <v>#REF!</v>
      </c>
      <c r="C90" s="41" t="e">
        <f>'Product List'!#REF!</f>
        <v>#REF!</v>
      </c>
      <c r="D90" s="191">
        <f>SUMPRODUCT((F191:J214="RPKE-000-020")*('2 Stand Configurator'!Z31))</f>
        <v>0</v>
      </c>
      <c r="E90" s="52"/>
      <c r="F90" s="52"/>
      <c r="G90" s="52"/>
      <c r="H90" s="52"/>
      <c r="I90" s="52"/>
      <c r="J90" s="52"/>
      <c r="K90" s="52"/>
    </row>
    <row r="91" spans="1:11" x14ac:dyDescent="0.4">
      <c r="A91" s="3"/>
      <c r="B91" s="187" t="e">
        <f>'Product List'!#REF!</f>
        <v>#REF!</v>
      </c>
      <c r="C91" s="41" t="e">
        <f>'Product List'!#REF!</f>
        <v>#REF!</v>
      </c>
      <c r="D91" s="191">
        <f>SUMPRODUCT((F191:J214="RPKE-000-021")*('2 Stand Configurator'!Z31))</f>
        <v>0</v>
      </c>
      <c r="E91" s="52"/>
      <c r="F91" s="52"/>
      <c r="G91" s="52"/>
      <c r="H91" s="52"/>
      <c r="I91" s="52"/>
      <c r="J91" s="52"/>
      <c r="K91" s="52"/>
    </row>
    <row r="92" spans="1:11" x14ac:dyDescent="0.4">
      <c r="A92" s="3"/>
      <c r="B92" s="187" t="str">
        <f>'Product List'!B30</f>
        <v>Stealth8000 Safety Spectacles - Clear</v>
      </c>
      <c r="C92" s="41" t="str">
        <f>'Product List'!E30</f>
        <v>RPKE-000-022</v>
      </c>
      <c r="D92" s="191">
        <f>SUMPRODUCT((F191:J214="RPKE-000-022")*('2 Stand Configurator'!Z31))</f>
        <v>2</v>
      </c>
      <c r="E92" s="52"/>
      <c r="F92" s="52"/>
      <c r="G92" s="52"/>
      <c r="H92" s="52"/>
      <c r="I92" s="52"/>
      <c r="J92" s="52"/>
      <c r="K92" s="52"/>
    </row>
    <row r="93" spans="1:11" x14ac:dyDescent="0.4">
      <c r="A93" s="3"/>
      <c r="B93" s="187" t="str">
        <f>'Product List'!B31</f>
        <v>Stealth8000 Safety Spectacles - Amber</v>
      </c>
      <c r="C93" s="41" t="str">
        <f>'Product List'!E31</f>
        <v>RPKE-000-023</v>
      </c>
      <c r="D93" s="191">
        <f>SUMPRODUCT((F191:J214="RPKE-000-023")*('2 Stand Configurator'!Z31))</f>
        <v>2</v>
      </c>
      <c r="E93" s="52"/>
      <c r="F93" s="52"/>
      <c r="G93" s="52"/>
      <c r="H93" s="52"/>
      <c r="I93" s="52"/>
      <c r="J93" s="52"/>
      <c r="K93" s="52"/>
    </row>
    <row r="94" spans="1:11" x14ac:dyDescent="0.4">
      <c r="A94" s="3"/>
      <c r="B94" s="187" t="str">
        <f>'Product List'!B32</f>
        <v>Stealth8000 Safety Spectacles - Smoke</v>
      </c>
      <c r="C94" s="41" t="str">
        <f>'Product List'!E32</f>
        <v>RPKE-000-024</v>
      </c>
      <c r="D94" s="191">
        <f>SUMPRODUCT((F191:J214="RPKE-000-024")*('2 Stand Configurator'!Z31))</f>
        <v>2</v>
      </c>
      <c r="E94" s="52"/>
      <c r="F94" s="52"/>
      <c r="G94" s="52"/>
      <c r="H94" s="52"/>
      <c r="I94" s="52"/>
      <c r="J94" s="52"/>
      <c r="K94" s="52"/>
    </row>
    <row r="95" spans="1:11" x14ac:dyDescent="0.4">
      <c r="A95" s="3"/>
      <c r="B95" s="187" t="str">
        <f>'Product List'!B33</f>
        <v>Stealth8000 Safety Spectacles - In/Out</v>
      </c>
      <c r="C95" s="41" t="str">
        <f>'Product List'!E33</f>
        <v>RPKE-000-025</v>
      </c>
      <c r="D95" s="191">
        <f>SUMPRODUCT((F191:J214="RPKE-000-025")*('2 Stand Configurator'!Z31))</f>
        <v>1</v>
      </c>
      <c r="E95" s="52"/>
      <c r="F95" s="52"/>
      <c r="G95" s="52"/>
      <c r="H95" s="52"/>
      <c r="I95" s="52"/>
      <c r="J95" s="52"/>
      <c r="K95" s="52"/>
    </row>
    <row r="96" spans="1:11" x14ac:dyDescent="0.4">
      <c r="A96" s="3"/>
      <c r="B96" s="187" t="str">
        <f>'Product List'!B34</f>
        <v>Stealth16g Safety Spectacles - Clear</v>
      </c>
      <c r="C96" s="41" t="str">
        <f>'Product List'!E34</f>
        <v>RPKE-000-026</v>
      </c>
      <c r="D96" s="191">
        <f>SUMPRODUCT((F191:J214="RPKE-000-026")*('2 Stand Configurator'!Z31))</f>
        <v>1</v>
      </c>
      <c r="E96" s="52"/>
      <c r="F96" s="52"/>
      <c r="G96" s="52"/>
      <c r="H96" s="52"/>
      <c r="I96" s="52"/>
      <c r="J96" s="52"/>
      <c r="K96" s="52"/>
    </row>
    <row r="97" spans="1:11" x14ac:dyDescent="0.4">
      <c r="A97" s="3"/>
      <c r="B97" s="187" t="str">
        <f>'Product List'!B35</f>
        <v>Stealth16g Safety Spectacles - Amber</v>
      </c>
      <c r="C97" s="41" t="str">
        <f>'Product List'!E35</f>
        <v>RPKE-000-027</v>
      </c>
      <c r="D97" s="191">
        <f>SUMPRODUCT((F191:J214="RPKE-000-027")*('2 Stand Configurator'!Z31))</f>
        <v>1</v>
      </c>
      <c r="E97" s="52"/>
      <c r="F97" s="52"/>
      <c r="G97" s="52"/>
      <c r="H97" s="52"/>
      <c r="I97" s="52"/>
      <c r="J97" s="52"/>
      <c r="K97" s="52"/>
    </row>
    <row r="98" spans="1:11" x14ac:dyDescent="0.4">
      <c r="A98" s="3"/>
      <c r="B98" s="187" t="str">
        <f>'Product List'!B36</f>
        <v>Stealth16g Safety Spectacles - Smoke</v>
      </c>
      <c r="C98" s="41" t="str">
        <f>'Product List'!E36</f>
        <v>RPKE-000-028</v>
      </c>
      <c r="D98" s="191">
        <f>SUMPRODUCT((F191:J214="RPKE-000-028")*('2 Stand Configurator'!Z31))</f>
        <v>1</v>
      </c>
      <c r="E98" s="52"/>
      <c r="F98" s="52"/>
      <c r="G98" s="52"/>
      <c r="H98" s="52"/>
      <c r="I98" s="52"/>
      <c r="J98" s="52"/>
      <c r="K98" s="52"/>
    </row>
    <row r="99" spans="1:11" hidden="1" x14ac:dyDescent="0.4">
      <c r="A99" s="3"/>
      <c r="B99" s="187" t="str">
        <f>'Product List'!B37</f>
        <v>Stealth LED</v>
      </c>
      <c r="C99" s="41" t="str">
        <f>'Product List'!E37</f>
        <v>RPKE-000-051</v>
      </c>
      <c r="D99" s="191">
        <f>SUMPRODUCT((F191:J214="RPKE-000-051")*('2 Stand Configurator'!Z31))</f>
        <v>0</v>
      </c>
      <c r="E99" s="52"/>
      <c r="F99" s="52"/>
      <c r="G99" s="52"/>
      <c r="H99" s="52"/>
      <c r="I99" s="52"/>
      <c r="J99" s="52"/>
      <c r="K99" s="52"/>
    </row>
    <row r="100" spans="1:11" hidden="1" x14ac:dyDescent="0.4">
      <c r="A100" s="3"/>
      <c r="B100" s="187" t="str">
        <f>'Product List'!B38</f>
        <v>PPE Cleaning Sachets x 100</v>
      </c>
      <c r="C100" s="41" t="str">
        <f>'Product List'!E38</f>
        <v>RPKE-000-050</v>
      </c>
      <c r="D100" s="191">
        <f>SUMPRODUCT((F191:J214="RPKE-000-050")*('2 Stand Configurator'!Z31))</f>
        <v>0</v>
      </c>
      <c r="E100" s="52"/>
      <c r="F100" s="52"/>
      <c r="G100" s="52"/>
      <c r="H100" s="52"/>
      <c r="I100" s="52"/>
      <c r="J100" s="52"/>
      <c r="K100" s="52"/>
    </row>
    <row r="101" spans="1:11" x14ac:dyDescent="0.4">
      <c r="A101" s="3"/>
      <c r="B101" s="187" t="str">
        <f>'Product List'!B39</f>
        <v>Stealth CoverLite OverSpec - Clear</v>
      </c>
      <c r="C101" s="41" t="str">
        <f>'Product List'!E39</f>
        <v>RPKE-000-029</v>
      </c>
      <c r="D101" s="191">
        <f>SUMPRODUCT((F191:J214="RPKE-000-029")*('2 Stand Configurator'!Z31))</f>
        <v>2</v>
      </c>
      <c r="E101" s="52"/>
      <c r="F101" s="52"/>
      <c r="G101" s="52"/>
      <c r="H101" s="52"/>
      <c r="I101" s="52"/>
      <c r="J101" s="52"/>
      <c r="K101" s="52"/>
    </row>
    <row r="102" spans="1:11" hidden="1" x14ac:dyDescent="0.4">
      <c r="A102" s="3"/>
      <c r="B102" s="187" t="str">
        <f>'Product List'!B40</f>
        <v>Stealth CoverLite OverSpec- Smoke</v>
      </c>
      <c r="C102" s="41" t="str">
        <f>'Product List'!E40</f>
        <v>RPKE-000-030</v>
      </c>
      <c r="D102" s="191">
        <f>SUMPRODUCT((F191:J214="RPKE-000-030")*('2 Stand Configurator'!Z31))</f>
        <v>0</v>
      </c>
      <c r="E102" s="52"/>
      <c r="F102" s="52"/>
      <c r="G102" s="52"/>
      <c r="H102" s="52"/>
      <c r="I102" s="52"/>
      <c r="J102" s="52"/>
      <c r="K102" s="52"/>
    </row>
    <row r="103" spans="1:11" x14ac:dyDescent="0.4">
      <c r="A103" s="3"/>
      <c r="B103" s="187" t="str">
        <f>'Product List'!B41</f>
        <v>EVOGoggle - Safety Goggle</v>
      </c>
      <c r="C103" s="41" t="str">
        <f>'Product List'!E41</f>
        <v>RPKE-000-031</v>
      </c>
      <c r="D103" s="191">
        <f>SUMPRODUCT((F191:J214="RPKE-000-031")*('2 Stand Configurator'!Z31))</f>
        <v>2</v>
      </c>
      <c r="E103" s="52"/>
      <c r="F103" s="52"/>
      <c r="G103" s="52"/>
      <c r="H103" s="52"/>
      <c r="I103" s="52"/>
      <c r="J103" s="52"/>
      <c r="K103" s="52"/>
    </row>
    <row r="104" spans="1:11" x14ac:dyDescent="0.4">
      <c r="A104" s="3"/>
      <c r="B104" s="187" t="str">
        <f>'Product List'!B42</f>
        <v>Sonis1 Headbanded Ear defender - SNR 27</v>
      </c>
      <c r="C104" s="41" t="str">
        <f>'Product List'!E42</f>
        <v>RPKE-000-032</v>
      </c>
      <c r="D104" s="191">
        <f>SUMPRODUCT((F191:J214="RPKE-000-032")*('2 Stand Configurator'!Z31))</f>
        <v>2</v>
      </c>
      <c r="E104" s="52"/>
      <c r="F104" s="52"/>
      <c r="G104" s="52"/>
      <c r="H104" s="52"/>
      <c r="I104" s="52"/>
      <c r="J104" s="52"/>
      <c r="K104" s="52"/>
    </row>
    <row r="105" spans="1:11" hidden="1" x14ac:dyDescent="0.4">
      <c r="A105" s="3"/>
      <c r="B105" s="187" t="str">
        <f>'Product List'!B43</f>
        <v>Sonis2 Headbanded Ear defender - SNR 28</v>
      </c>
      <c r="C105" s="41" t="str">
        <f>'Product List'!E43</f>
        <v>RPKE-000-033</v>
      </c>
      <c r="D105" s="191">
        <f>SUMPRODUCT((F191:J214="RPKE-000-033")*('2 Stand Configurator'!Z31))</f>
        <v>0</v>
      </c>
      <c r="E105" s="52"/>
      <c r="F105" s="52"/>
      <c r="G105" s="52"/>
      <c r="H105" s="52"/>
      <c r="I105" s="52"/>
      <c r="J105" s="52"/>
      <c r="K105" s="52"/>
    </row>
    <row r="106" spans="1:11" x14ac:dyDescent="0.4">
      <c r="A106" s="3"/>
      <c r="B106" s="187" t="str">
        <f>'Product List'!B44</f>
        <v>SonisC Headbanded Ear defender - SNR 32</v>
      </c>
      <c r="C106" s="41" t="str">
        <f>'Product List'!E44</f>
        <v>RPKE-000-034</v>
      </c>
      <c r="D106" s="191">
        <f>SUMPRODUCT((F191:J214="RPKE-000-034")*('2 Stand Configurator'!Z31))</f>
        <v>2</v>
      </c>
      <c r="E106" s="52"/>
      <c r="F106" s="52"/>
      <c r="G106" s="52"/>
      <c r="H106" s="52"/>
      <c r="I106" s="52"/>
      <c r="J106" s="52"/>
      <c r="K106" s="52"/>
    </row>
    <row r="107" spans="1:11" x14ac:dyDescent="0.4">
      <c r="A107" s="3"/>
      <c r="B107" s="187" t="str">
        <f>'Product List'!B45</f>
        <v>Sonis3 Headbanded Ear defender - SNR 37</v>
      </c>
      <c r="C107" s="41" t="str">
        <f>'Product List'!E45</f>
        <v>RPKE-000-035</v>
      </c>
      <c r="D107" s="191">
        <f>SUMPRODUCT((F191:J214="RPKE-000-035")*('2 Stand Configurator'!Z31))</f>
        <v>2</v>
      </c>
      <c r="E107" s="52"/>
      <c r="F107" s="52"/>
      <c r="G107" s="52"/>
      <c r="H107" s="52"/>
      <c r="I107" s="52"/>
      <c r="J107" s="52"/>
      <c r="K107" s="52"/>
    </row>
    <row r="108" spans="1:11" hidden="1" x14ac:dyDescent="0.4">
      <c r="A108" s="3"/>
      <c r="B108" s="187" t="str">
        <f>'Product List'!B46</f>
        <v>Sonis1 Helmet Mounted Ear defender - SNR 26</v>
      </c>
      <c r="C108" s="41" t="str">
        <f>'Product List'!E46</f>
        <v>RPKE-000-036</v>
      </c>
      <c r="D108" s="191">
        <f>SUMPRODUCT((F191:J214="RPKE-000-036")*('2 Stand Configurator'!Z31))</f>
        <v>0</v>
      </c>
      <c r="E108" s="52"/>
      <c r="F108" s="52"/>
      <c r="G108" s="52"/>
      <c r="H108" s="52"/>
      <c r="I108" s="52"/>
      <c r="J108" s="52"/>
      <c r="K108" s="52"/>
    </row>
    <row r="109" spans="1:11" x14ac:dyDescent="0.4">
      <c r="A109" s="3"/>
      <c r="B109" s="187" t="str">
        <f>'Product List'!B47</f>
        <v>SonisC Helmet Mounted Ear defender - SNR 31</v>
      </c>
      <c r="C109" s="41" t="str">
        <f>'Product List'!E47</f>
        <v>RPKE-000-037</v>
      </c>
      <c r="D109" s="191">
        <f>SUMPRODUCT((F191:J214="RPKE-000-037")*('2 Stand Configurator'!Z31))</f>
        <v>2</v>
      </c>
      <c r="E109" s="52"/>
      <c r="F109" s="52"/>
      <c r="G109" s="52"/>
      <c r="H109" s="52"/>
      <c r="I109" s="52"/>
      <c r="J109" s="52"/>
      <c r="K109" s="52"/>
    </row>
    <row r="110" spans="1:11" hidden="1" x14ac:dyDescent="0.4">
      <c r="A110" s="3"/>
      <c r="B110" s="187" t="str">
        <f>'Product List'!B48</f>
        <v>Sonis3 Helmet Mounted Ear defender - SNR 36</v>
      </c>
      <c r="C110" s="41" t="str">
        <f>'Product List'!E48</f>
        <v>RPKE-000-038</v>
      </c>
      <c r="D110" s="191">
        <f>SUMPRODUCT((F191:J214="RPKE-000-038")*('2 Stand Configurator'!Z31))</f>
        <v>0</v>
      </c>
      <c r="E110" s="52"/>
      <c r="F110" s="52"/>
      <c r="G110" s="52"/>
      <c r="H110" s="52"/>
      <c r="I110" s="52"/>
      <c r="J110" s="52"/>
      <c r="K110" s="52"/>
    </row>
    <row r="111" spans="1:11" x14ac:dyDescent="0.4">
      <c r="A111" s="3"/>
      <c r="B111" s="187" t="str">
        <f>'Product List'!B49</f>
        <v>SoundStopper Banded Ear Plug</v>
      </c>
      <c r="C111" s="41" t="str">
        <f>'Product List'!E49</f>
        <v>RPKE-000-039</v>
      </c>
      <c r="D111" s="191">
        <f>SUMPRODUCT((F191:J214="RPKE-000-039")*('2 Stand Configurator'!Z31))</f>
        <v>2</v>
      </c>
      <c r="E111" s="52"/>
      <c r="F111" s="52"/>
      <c r="G111" s="52"/>
      <c r="H111" s="52"/>
      <c r="I111" s="52"/>
      <c r="J111" s="52"/>
      <c r="K111" s="52"/>
    </row>
    <row r="112" spans="1:11" x14ac:dyDescent="0.4">
      <c r="A112" s="3"/>
      <c r="B112" s="187" t="str">
        <f>'Product List'!B50</f>
        <v>Force10 - FullFace Mask - Medium</v>
      </c>
      <c r="C112" s="41" t="str">
        <f>'Product List'!E50</f>
        <v>RPKE-000-040</v>
      </c>
      <c r="D112" s="191">
        <f>SUMPRODUCT((F191:J214="RPKE-000-040")*('2 Stand Configurator'!Z31))</f>
        <v>1</v>
      </c>
      <c r="E112" s="52"/>
      <c r="F112" s="52"/>
      <c r="G112" s="52"/>
      <c r="H112" s="52"/>
      <c r="I112" s="52"/>
      <c r="J112" s="52"/>
      <c r="K112" s="52"/>
    </row>
    <row r="113" spans="1:11" hidden="1" x14ac:dyDescent="0.4">
      <c r="A113" s="3"/>
      <c r="B113" s="187" t="str">
        <f>'Product List'!B51</f>
        <v>Force10 - FullFace Mask - Large</v>
      </c>
      <c r="C113" s="41" t="str">
        <f>'Product List'!E51</f>
        <v>RPKE-000-041</v>
      </c>
      <c r="D113" s="191">
        <f>SUMPRODUCT((F191:J214="RPKE-000-041")*('2 Stand Configurator'!Z31))</f>
        <v>0</v>
      </c>
      <c r="E113" s="52"/>
      <c r="F113" s="52"/>
      <c r="G113" s="52"/>
      <c r="H113" s="52"/>
      <c r="I113" s="52"/>
      <c r="J113" s="52"/>
      <c r="K113" s="52"/>
    </row>
    <row r="114" spans="1:11" x14ac:dyDescent="0.4">
      <c r="A114" s="3"/>
      <c r="B114" s="187" t="str">
        <f>'Product List'!B52</f>
        <v>Force10 - FullFace Mask - Medium (UK)</v>
      </c>
      <c r="C114" s="41" t="str">
        <f>'Product List'!E52</f>
        <v>RPKE-000-040</v>
      </c>
      <c r="D114" s="191">
        <f>SUMPRODUCT((F191:J214="RPKE-000-040")*('2 Stand Configurator'!Z31))</f>
        <v>1</v>
      </c>
      <c r="E114" s="52"/>
      <c r="F114" s="52"/>
      <c r="G114" s="52"/>
      <c r="H114" s="52"/>
      <c r="I114" s="52"/>
      <c r="J114" s="52"/>
      <c r="K114" s="52"/>
    </row>
    <row r="115" spans="1:11" x14ac:dyDescent="0.4">
      <c r="A115" s="3"/>
      <c r="B115" s="187" t="str">
        <f>'Product List'!B53</f>
        <v xml:space="preserve">BushMaster Landscaping unit - Polycarb </v>
      </c>
      <c r="C115" s="41" t="str">
        <f>'Product List'!E53</f>
        <v>RPKE-000-042</v>
      </c>
      <c r="D115" s="191">
        <f>SUMPRODUCT((F191:J214="RPKE-000-042")*('2 Stand Configurator'!Z31))</f>
        <v>1</v>
      </c>
      <c r="E115" s="52"/>
      <c r="F115" s="52"/>
      <c r="G115" s="52"/>
      <c r="H115" s="52"/>
      <c r="I115" s="52"/>
      <c r="J115" s="52"/>
      <c r="K115" s="52"/>
    </row>
    <row r="116" spans="1:11" x14ac:dyDescent="0.4">
      <c r="A116" s="3"/>
      <c r="B116" s="187" t="str">
        <f>'Product List'!B54</f>
        <v>BushMaster Landscaping unit - Wire guaze</v>
      </c>
      <c r="C116" s="41" t="str">
        <f>'Product List'!E54</f>
        <v>RPKE-000-043</v>
      </c>
      <c r="D116" s="191">
        <f>SUMPRODUCT((F191:J214="RPKE-000-043")*('2 Stand Configurator'!Z31))</f>
        <v>1</v>
      </c>
      <c r="E116" s="52"/>
      <c r="F116" s="52"/>
      <c r="G116" s="52"/>
      <c r="H116" s="52"/>
      <c r="I116" s="52"/>
      <c r="J116" s="52"/>
      <c r="K116" s="52"/>
    </row>
    <row r="117" spans="1:11" x14ac:dyDescent="0.4">
      <c r="A117" s="3"/>
      <c r="B117" s="187" t="str">
        <f>'Product List'!B55</f>
        <v>EVOLite Forester Forestry unit</v>
      </c>
      <c r="C117" s="41" t="str">
        <f>'Product List'!E55</f>
        <v>RPKE-000-044</v>
      </c>
      <c r="D117" s="191">
        <f>SUMPRODUCT((F191:J214="RPKE-000-044")*('2 Stand Configurator'!Z31))</f>
        <v>1</v>
      </c>
      <c r="E117" s="52"/>
      <c r="F117" s="52"/>
      <c r="G117" s="52"/>
      <c r="H117" s="52"/>
      <c r="I117" s="52"/>
      <c r="J117" s="52"/>
      <c r="K117" s="52"/>
    </row>
    <row r="118" spans="1:11" hidden="1" x14ac:dyDescent="0.4">
      <c r="A118" s="3"/>
      <c r="B118" s="187" t="str">
        <f>'Product List'!B56</f>
        <v>EVOGuard M3 Landscaping browguard system</v>
      </c>
      <c r="C118" s="41" t="str">
        <f>'Product List'!E56</f>
        <v>RPKE-000-045</v>
      </c>
      <c r="D118" s="191">
        <f>SUMPRODUCT((F191:J214="RPKE-000-045")*('2 Stand Configurator'!Z31))</f>
        <v>0</v>
      </c>
      <c r="E118" s="52"/>
      <c r="F118" s="52"/>
      <c r="G118" s="52"/>
      <c r="H118" s="52"/>
      <c r="I118" s="52"/>
      <c r="J118" s="52"/>
      <c r="K118" s="52"/>
    </row>
    <row r="119" spans="1:11" hidden="1" x14ac:dyDescent="0.4">
      <c r="A119" s="3"/>
      <c r="B119" s="187" t="str">
        <f>'Product List'!B57</f>
        <v>EVOGuard C2 Industrial Browguard System</v>
      </c>
      <c r="C119" s="41" t="str">
        <f>'Product List'!E57</f>
        <v>RPKE-000-046</v>
      </c>
      <c r="D119" s="191">
        <f>SUMPRODUCT((F191:J214="RPKE-000-046")*('2 Stand Configurator'!Z31))</f>
        <v>0</v>
      </c>
      <c r="E119" s="52"/>
      <c r="F119" s="52"/>
      <c r="G119" s="52"/>
      <c r="H119" s="52"/>
      <c r="I119" s="52"/>
      <c r="J119" s="52"/>
      <c r="K119" s="52"/>
    </row>
    <row r="120" spans="1:11" hidden="1" x14ac:dyDescent="0.4">
      <c r="A120" s="3"/>
      <c r="B120" s="187" t="str">
        <f>'Product List'!B58</f>
        <v>EVOGuard M3 Forestry helmet</v>
      </c>
      <c r="C120" s="41" t="str">
        <f>'Product List'!E58</f>
        <v>RPKE-000-047</v>
      </c>
      <c r="D120" s="191">
        <f>SUMPRODUCT((F191:J214="RPKE-000-047")*('2 Stand Configurator'!Z31))</f>
        <v>0</v>
      </c>
      <c r="E120" s="52"/>
      <c r="F120" s="52"/>
      <c r="G120" s="52"/>
      <c r="H120" s="52"/>
      <c r="I120" s="52"/>
      <c r="J120" s="52"/>
      <c r="K120" s="52"/>
    </row>
    <row r="121" spans="1:11" hidden="1" x14ac:dyDescent="0.4">
      <c r="A121" s="3"/>
      <c r="B121" s="187" t="str">
        <f>'Product List'!B59</f>
        <v>EVOGuard C5Max Electrical helmet</v>
      </c>
      <c r="C121" s="41" t="str">
        <f>'Product List'!E59</f>
        <v>RPKE-000-048</v>
      </c>
      <c r="D121" s="191">
        <f>SUMPRODUCT((F191:J214="RPKE-000-048")*('2 Stand Configurator'!Z31))</f>
        <v>0</v>
      </c>
      <c r="E121" s="52"/>
      <c r="F121" s="52"/>
      <c r="G121" s="52"/>
      <c r="H121" s="52"/>
      <c r="I121" s="52"/>
      <c r="J121" s="52"/>
      <c r="K121" s="52"/>
    </row>
    <row r="122" spans="1:11" x14ac:dyDescent="0.4">
      <c r="A122" s="3"/>
      <c r="B122" s="187" t="str">
        <f>'Product List'!B60</f>
        <v>EVOLite Skyworker - Working at Height Helmet</v>
      </c>
      <c r="C122" s="41" t="str">
        <f>'Product List'!E60</f>
        <v>RPKE-000-007</v>
      </c>
      <c r="D122" s="191">
        <f>SUMPRODUCT((F191:J214="RPKE-000-007")*('2 Stand Configurator'!Z31))</f>
        <v>1</v>
      </c>
      <c r="E122" s="52"/>
      <c r="F122" s="52"/>
      <c r="G122" s="52"/>
      <c r="H122" s="52"/>
      <c r="I122" s="52"/>
      <c r="J122" s="52"/>
      <c r="K122" s="52"/>
    </row>
    <row r="123" spans="1:11" x14ac:dyDescent="0.4">
      <c r="A123" s="3"/>
      <c r="B123" s="52"/>
      <c r="C123" s="5"/>
      <c r="D123" s="5"/>
      <c r="E123" s="52"/>
      <c r="F123" s="52"/>
      <c r="G123" s="5"/>
      <c r="H123" s="52"/>
      <c r="I123" s="52"/>
      <c r="J123" s="52"/>
      <c r="K123" s="52"/>
    </row>
    <row r="124" spans="1:11" ht="15" customHeight="1" x14ac:dyDescent="0.4">
      <c r="A124" s="3"/>
      <c r="B124" s="39" t="s">
        <v>184</v>
      </c>
      <c r="C124" s="9" t="s">
        <v>53</v>
      </c>
      <c r="D124" s="18" t="s">
        <v>159</v>
      </c>
      <c r="E124" s="52"/>
      <c r="F124" s="52"/>
      <c r="G124" s="5"/>
      <c r="H124" s="52"/>
      <c r="I124" s="52"/>
      <c r="J124" s="52"/>
      <c r="K124" s="52"/>
    </row>
    <row r="125" spans="1:11" ht="5.15" customHeight="1" x14ac:dyDescent="0.4">
      <c r="A125" s="3"/>
      <c r="B125" s="44"/>
      <c r="C125" s="43"/>
      <c r="D125" s="43"/>
      <c r="E125" s="52"/>
      <c r="F125" s="52"/>
      <c r="G125" s="5"/>
      <c r="H125" s="52"/>
      <c r="I125" s="52"/>
      <c r="J125" s="52"/>
      <c r="K125" s="52"/>
    </row>
    <row r="126" spans="1:11" ht="15" hidden="1" customHeight="1" x14ac:dyDescent="0.4">
      <c r="A126" s="3"/>
      <c r="B126" s="187" t="str">
        <f>'Product List'!B5</f>
        <v>EVOLite Safety Helmet - NonVented - White</v>
      </c>
      <c r="C126" s="41" t="str">
        <f>'Product List'!F5</f>
        <v>RNAZ-000-508</v>
      </c>
      <c r="D126" s="191">
        <f>SUMPRODUCT((F191:J214="RPKE-000-001")*('2 Stand Configurator'!Z31))</f>
        <v>0</v>
      </c>
      <c r="E126" s="52"/>
      <c r="F126" s="52"/>
      <c r="G126" s="5"/>
      <c r="H126" s="52"/>
      <c r="I126" s="52"/>
      <c r="J126" s="52"/>
      <c r="K126" s="52"/>
    </row>
    <row r="127" spans="1:11" ht="15" customHeight="1" x14ac:dyDescent="0.4">
      <c r="A127" s="3"/>
      <c r="B127" s="187" t="str">
        <f>'Product List'!B6</f>
        <v>EVOLite Safety Helmet - Vented - White</v>
      </c>
      <c r="C127" s="41" t="str">
        <f>'Product List'!F6</f>
        <v>RNAZ-000-506</v>
      </c>
      <c r="D127" s="191">
        <f>SUMPRODUCT((F191:J214="RPKE-000-002")*('2 Stand Configurator'!Z31))</f>
        <v>1</v>
      </c>
      <c r="E127" s="52"/>
      <c r="F127" s="52"/>
      <c r="G127" s="5"/>
      <c r="H127" s="52"/>
      <c r="I127" s="52"/>
      <c r="J127" s="52"/>
      <c r="K127" s="52"/>
    </row>
    <row r="128" spans="1:11" ht="15" hidden="1" customHeight="1" x14ac:dyDescent="0.4">
      <c r="A128" s="3"/>
      <c r="B128" s="187" t="str">
        <f>'Product List'!B7</f>
        <v>EVO2 Safety Helmet - NonVented - White</v>
      </c>
      <c r="C128" s="41" t="str">
        <f>'Product List'!F7</f>
        <v>RNAZ-000-507</v>
      </c>
      <c r="D128" s="191">
        <f>SUMPRODUCT((F191:J214="RPKE-000-003")*('2 Stand Configurator'!Z31))</f>
        <v>0</v>
      </c>
      <c r="E128" s="52"/>
      <c r="F128" s="52"/>
      <c r="G128" s="52"/>
      <c r="H128" s="52"/>
      <c r="I128" s="52"/>
      <c r="J128" s="52"/>
      <c r="K128" s="52"/>
    </row>
    <row r="129" spans="1:11" ht="15" customHeight="1" x14ac:dyDescent="0.4">
      <c r="A129" s="3"/>
      <c r="B129" s="187" t="str">
        <f>'Product List'!B9</f>
        <v>EVO2 Safety Helmet - Vented - Black</v>
      </c>
      <c r="C129" s="41" t="str">
        <f>'Product List'!F9</f>
        <v>RNAZ-000-504</v>
      </c>
      <c r="D129" s="191">
        <f>SUMPRODUCT((F191:J214="RPKE-000-004")*('2 Stand Configurator'!Z31))</f>
        <v>1</v>
      </c>
      <c r="E129" s="52"/>
      <c r="F129" s="52"/>
      <c r="G129" s="52"/>
      <c r="H129" s="52"/>
      <c r="I129" s="52"/>
      <c r="J129" s="52"/>
      <c r="K129" s="52"/>
    </row>
    <row r="130" spans="1:11" x14ac:dyDescent="0.4">
      <c r="A130" s="3"/>
      <c r="B130" s="187" t="str">
        <f>'Product List'!B10</f>
        <v>HardCap AeroLite - BumpCap - Black</v>
      </c>
      <c r="C130" s="41" t="str">
        <f>'Product List'!F10</f>
        <v>RNAZ-000-503</v>
      </c>
      <c r="D130" s="191">
        <f>SUMPRODUCT((F191:J214="RPKE-000-005")*('2 Stand Configurator'!Z31))</f>
        <v>1</v>
      </c>
      <c r="E130" s="52"/>
      <c r="F130" s="52"/>
      <c r="G130" s="52"/>
      <c r="H130" s="52"/>
      <c r="I130" s="52"/>
      <c r="J130" s="52"/>
      <c r="K130" s="52"/>
    </row>
    <row r="131" spans="1:11" hidden="1" x14ac:dyDescent="0.4">
      <c r="A131" s="3"/>
      <c r="B131" s="187" t="str">
        <f>'Product List'!B11</f>
        <v>HardCap AeroLite - BumpCap - Blue</v>
      </c>
      <c r="C131" s="41" t="str">
        <f>'Product List'!F11</f>
        <v>RNAZ-000-503</v>
      </c>
      <c r="D131" s="191">
        <f>SUMPRODUCT((F191:J214="RPKE-000-006")*('2 Stand Configurator'!Z31))</f>
        <v>0</v>
      </c>
      <c r="E131" s="52"/>
      <c r="F131" s="52"/>
      <c r="G131" s="5"/>
      <c r="H131" s="52"/>
      <c r="I131" s="52"/>
      <c r="J131" s="52"/>
      <c r="K131" s="52"/>
    </row>
    <row r="132" spans="1:11" hidden="1" x14ac:dyDescent="0.4">
      <c r="A132" s="3"/>
      <c r="B132" s="187" t="str">
        <f>'Product List'!B12</f>
        <v>EVOLite Skyworker - Working at Height Helmet</v>
      </c>
      <c r="C132" s="41">
        <f>'Product List'!F12</f>
        <v>0</v>
      </c>
      <c r="D132" s="191">
        <f>SUMPRODUCT((F191:J214="RPKE-000-007")*('2 Stand Configurator'!Z31))</f>
        <v>1</v>
      </c>
      <c r="E132" s="52"/>
      <c r="F132" s="52"/>
      <c r="G132" s="5"/>
      <c r="H132" s="52"/>
      <c r="I132" s="52"/>
      <c r="J132" s="52"/>
      <c r="K132" s="52"/>
    </row>
    <row r="133" spans="1:11" hidden="1" x14ac:dyDescent="0.4">
      <c r="A133" s="3"/>
      <c r="B133" s="187" t="str">
        <f>'Product List'!B13</f>
        <v>EVOVistaLens - Vented - White/Smoke</v>
      </c>
      <c r="C133" s="41">
        <f>'Product List'!F13</f>
        <v>0</v>
      </c>
      <c r="D133" s="191">
        <f>SUMPRODUCT((F191:J214="RPKE-000-049")*('2 Stand Configurator'!Z31))</f>
        <v>0</v>
      </c>
      <c r="E133" s="52"/>
      <c r="F133" s="52"/>
      <c r="G133" s="5"/>
      <c r="H133" s="52"/>
      <c r="I133" s="52"/>
      <c r="J133" s="52"/>
      <c r="K133" s="52"/>
    </row>
    <row r="134" spans="1:11" ht="15" hidden="1" customHeight="1" x14ac:dyDescent="0.4">
      <c r="A134" s="3"/>
      <c r="B134" s="187" t="str">
        <f>'Product List'!B14</f>
        <v>EVOVistaShield - Vented - White/Smoke</v>
      </c>
      <c r="C134" s="41">
        <f>'Product List'!F14</f>
        <v>0</v>
      </c>
      <c r="D134" s="191">
        <f>SUMPRODUCT((F191:J214="RPKE-000-XX1")*('2 Stand Configurator'!Z31))</f>
        <v>0</v>
      </c>
      <c r="E134" s="52"/>
      <c r="F134" s="52"/>
      <c r="G134" s="5"/>
      <c r="H134" s="52"/>
      <c r="I134" s="52"/>
      <c r="J134" s="52"/>
      <c r="K134" s="52"/>
    </row>
    <row r="135" spans="1:11" ht="15" hidden="1" customHeight="1" x14ac:dyDescent="0.4">
      <c r="A135" s="3"/>
      <c r="B135" s="187" t="str">
        <f>'Product List'!B15</f>
        <v>PPE Cleaning Sachets x 100</v>
      </c>
      <c r="C135" s="41">
        <f>'Product List'!F15</f>
        <v>0</v>
      </c>
      <c r="D135" s="191">
        <f>SUMPRODUCT((F191:J214="RPKE-000-050")*('2 Stand Configurator'!Z92))</f>
        <v>0</v>
      </c>
      <c r="E135" s="52"/>
      <c r="F135" s="52"/>
      <c r="G135" s="5"/>
      <c r="H135" s="52"/>
      <c r="I135" s="52"/>
      <c r="J135" s="52"/>
      <c r="K135" s="52"/>
    </row>
    <row r="136" spans="1:11" hidden="1" x14ac:dyDescent="0.4">
      <c r="A136" s="3"/>
      <c r="B136" s="187" t="str">
        <f>'Product List'!B16</f>
        <v>SpringFit Disposable Mask - FFP2V</v>
      </c>
      <c r="C136" s="41">
        <f>'Product List'!F16</f>
        <v>0</v>
      </c>
      <c r="D136" s="191">
        <f>SUMPRODUCT((F191:J214="RPKE-000-008")*('2 Stand Configurator'!Z31))</f>
        <v>1</v>
      </c>
      <c r="E136" s="52"/>
      <c r="F136" s="52"/>
      <c r="G136" s="5"/>
      <c r="H136" s="52"/>
      <c r="I136" s="52"/>
      <c r="J136" s="52"/>
      <c r="K136" s="52"/>
    </row>
    <row r="137" spans="1:11" ht="15" hidden="1" customHeight="1" x14ac:dyDescent="0.4">
      <c r="A137" s="3"/>
      <c r="B137" s="187" t="str">
        <f>'Product List'!B17</f>
        <v>SpringFit Disposable Mask - FFP3V</v>
      </c>
      <c r="C137" s="41">
        <f>'Product List'!F17</f>
        <v>0</v>
      </c>
      <c r="D137" s="191">
        <f>SUMPRODUCT((F191:J214="RPKE-000-009")*('2 Stand Configurator'!Z31))</f>
        <v>2</v>
      </c>
      <c r="E137" s="52"/>
      <c r="F137" s="52"/>
      <c r="G137" s="5"/>
      <c r="H137" s="52"/>
      <c r="I137" s="52"/>
      <c r="J137" s="52"/>
      <c r="K137" s="52"/>
    </row>
    <row r="138" spans="1:11" ht="15" hidden="1" customHeight="1" x14ac:dyDescent="0.4">
      <c r="A138" s="3"/>
      <c r="B138" s="187" t="str">
        <f>'Product List'!B18</f>
        <v>SpringFit Disposable Mask - FFP3OV</v>
      </c>
      <c r="C138" s="41">
        <f>'Product List'!F18</f>
        <v>0</v>
      </c>
      <c r="D138" s="191">
        <f>SUMPRODUCT((F191:J214="RPKE-000-010")*('2 Stand Configurator'!Z31))</f>
        <v>1</v>
      </c>
      <c r="E138" s="52"/>
      <c r="F138" s="52"/>
      <c r="G138" s="5"/>
      <c r="H138" s="52"/>
      <c r="I138" s="52"/>
      <c r="J138" s="52"/>
      <c r="K138" s="52"/>
    </row>
    <row r="139" spans="1:11" ht="15" hidden="1" customHeight="1" x14ac:dyDescent="0.4">
      <c r="A139" s="3"/>
      <c r="B139" s="187" t="str">
        <f>'Product List'!B19</f>
        <v>F621 Disposable Mask - FFP2 - x2</v>
      </c>
      <c r="C139" s="41">
        <f>'Product List'!F19</f>
        <v>0</v>
      </c>
      <c r="D139" s="191">
        <f>SUMPRODUCT((F191:J214="RPKE-000-XX2")*('2 Stand Configurator'!Z31))</f>
        <v>0</v>
      </c>
      <c r="E139" s="52"/>
      <c r="F139" s="52"/>
      <c r="G139" s="5"/>
      <c r="H139" s="52"/>
      <c r="I139" s="52"/>
      <c r="J139" s="52"/>
      <c r="K139" s="52"/>
    </row>
    <row r="140" spans="1:11" hidden="1" x14ac:dyDescent="0.4">
      <c r="A140" s="3"/>
      <c r="B140" s="187" t="str">
        <f>'Product List'!B20</f>
        <v>F622 Disposable Mask - FFP2V - x 2</v>
      </c>
      <c r="C140" s="41">
        <f>'Product List'!F20</f>
        <v>0</v>
      </c>
      <c r="D140" s="191">
        <f>SUMPRODUCT((F191:J214="RPKE-000-XX3")*('2 Stand Configurator'!Z31))</f>
        <v>0</v>
      </c>
      <c r="E140" s="52"/>
      <c r="F140" s="52"/>
      <c r="G140" s="5"/>
      <c r="H140" s="52"/>
      <c r="I140" s="52"/>
      <c r="J140" s="52"/>
      <c r="K140" s="52"/>
    </row>
    <row r="141" spans="1:11" ht="15" hidden="1" customHeight="1" x14ac:dyDescent="0.4">
      <c r="A141" s="3"/>
      <c r="B141" s="187" t="str">
        <f>'Product List'!B21</f>
        <v>F632 Disposable Mask - FFP3V - x2</v>
      </c>
      <c r="C141" s="41">
        <f>'Product List'!F21</f>
        <v>0</v>
      </c>
      <c r="D141" s="191">
        <f>SUMPRODUCT((F191:J214="RPKE-000-XX4")*('2 Stand Configurator'!Z31))</f>
        <v>0</v>
      </c>
      <c r="E141" s="52"/>
      <c r="F141" s="52"/>
      <c r="G141" s="5"/>
      <c r="H141" s="52"/>
      <c r="I141" s="52"/>
      <c r="J141" s="52"/>
      <c r="K141" s="52"/>
    </row>
    <row r="142" spans="1:11" ht="15" hidden="1" customHeight="1" x14ac:dyDescent="0.4">
      <c r="A142" s="3"/>
      <c r="B142" s="187" t="str">
        <f>'Product List'!B22</f>
        <v>Flexinet Disposable Mask - FFP2V</v>
      </c>
      <c r="C142" s="41">
        <f>'Product List'!F22</f>
        <v>0</v>
      </c>
      <c r="D142" s="191">
        <f>SUMPRODUCT((F191:J214="RPKE-000-011")*('2 Stand Configurator'!Z31))</f>
        <v>1</v>
      </c>
      <c r="E142" s="52"/>
      <c r="F142" s="52"/>
      <c r="G142" s="5"/>
      <c r="H142" s="52"/>
      <c r="I142" s="52"/>
      <c r="J142" s="52"/>
      <c r="K142" s="52"/>
    </row>
    <row r="143" spans="1:11" ht="15" hidden="1" customHeight="1" x14ac:dyDescent="0.4">
      <c r="A143" s="3"/>
      <c r="B143" s="187" t="str">
        <f>'Product List'!B23</f>
        <v>Flexinet Disposable Mask - FFP3V</v>
      </c>
      <c r="C143" s="41">
        <f>'Product List'!F23</f>
        <v>0</v>
      </c>
      <c r="D143" s="191">
        <f>SUMPRODUCT((F191:J214="RPKE-000-012")*('2 Stand Configurator'!Z31))</f>
        <v>1</v>
      </c>
      <c r="E143" s="52"/>
      <c r="F143" s="52"/>
      <c r="G143" s="5"/>
      <c r="H143" s="52"/>
      <c r="I143" s="52"/>
      <c r="J143" s="52"/>
      <c r="K143" s="52"/>
    </row>
    <row r="144" spans="1:11" ht="15" hidden="1" customHeight="1" x14ac:dyDescent="0.4">
      <c r="A144" s="3"/>
      <c r="B144" s="187" t="str">
        <f>'Product List'!B24</f>
        <v>Force8 - HalfMask without Filters - Medium</v>
      </c>
      <c r="C144" s="41">
        <f>'Product List'!F24</f>
        <v>0</v>
      </c>
      <c r="D144" s="191">
        <f>SUMPRODUCT((F191:J214="RPKE-000-013")*('2 Stand Configurator'!Z31))</f>
        <v>2</v>
      </c>
      <c r="E144" s="52"/>
      <c r="F144" s="52"/>
      <c r="G144" s="5"/>
      <c r="H144" s="52"/>
      <c r="I144" s="52"/>
      <c r="J144" s="52"/>
      <c r="K144" s="52"/>
    </row>
    <row r="145" spans="1:11" hidden="1" x14ac:dyDescent="0.4">
      <c r="A145" s="3"/>
      <c r="B145" s="187" t="str">
        <f>'Product List'!B25</f>
        <v>Force8 - HalfMask without Filters - Large</v>
      </c>
      <c r="C145" s="41">
        <f>'Product List'!F25</f>
        <v>0</v>
      </c>
      <c r="D145" s="191">
        <f>SUMPRODUCT((F191:J214="RPKE-000-014")*('2 Stand Configurator'!Z31))</f>
        <v>0</v>
      </c>
      <c r="E145" s="52"/>
      <c r="F145" s="52"/>
      <c r="G145" s="5"/>
      <c r="H145" s="52"/>
      <c r="I145" s="52"/>
      <c r="J145" s="52"/>
      <c r="K145" s="52"/>
    </row>
    <row r="146" spans="1:11" ht="15" hidden="1" customHeight="1" x14ac:dyDescent="0.4">
      <c r="A146" s="3"/>
      <c r="B146" s="187" t="str">
        <f>'Product List'!B26</f>
        <v>Force8  - with P3 PressToCheck Filters</v>
      </c>
      <c r="C146" s="41">
        <f>'Product List'!F26</f>
        <v>0</v>
      </c>
      <c r="D146" s="191">
        <f>SUMPRODUCT((F191:J214="RPKE-000-015")*('2 Stand Configurator'!Z31))</f>
        <v>3</v>
      </c>
      <c r="E146" s="52"/>
      <c r="F146" s="52"/>
      <c r="G146" s="5"/>
      <c r="H146" s="52"/>
      <c r="I146" s="52"/>
      <c r="J146" s="52"/>
      <c r="K146" s="52"/>
    </row>
    <row r="147" spans="1:11" ht="15" hidden="1" customHeight="1" x14ac:dyDescent="0.4">
      <c r="A147" s="3"/>
      <c r="B147" s="187" t="str">
        <f>'Product List'!B27</f>
        <v xml:space="preserve">PressToCheck Filters - P3 </v>
      </c>
      <c r="C147" s="41">
        <f>'Product List'!F27</f>
        <v>0</v>
      </c>
      <c r="D147" s="191">
        <f>SUMPRODUCT((F191:J214="RPKE-000-016")*('2 Stand Configurator'!Z31))</f>
        <v>2</v>
      </c>
      <c r="E147" s="52"/>
      <c r="F147" s="52"/>
      <c r="G147" s="5"/>
      <c r="H147" s="52"/>
      <c r="I147" s="52"/>
      <c r="J147" s="52"/>
      <c r="K147" s="52"/>
    </row>
    <row r="148" spans="1:11" ht="15" hidden="1" customHeight="1" x14ac:dyDescent="0.4">
      <c r="A148" s="3"/>
      <c r="B148" s="187" t="str">
        <f>'Product List'!B28</f>
        <v xml:space="preserve">PressToCheck Filters - A2P3 </v>
      </c>
      <c r="C148" s="41">
        <f>'Product List'!F28</f>
        <v>0</v>
      </c>
      <c r="D148" s="191">
        <f>SUMPRODUCT((F191:J214="RPKE-000-017")*('2 Stand Configurator'!Z31))</f>
        <v>1</v>
      </c>
      <c r="E148" s="52"/>
      <c r="F148" s="52"/>
      <c r="G148" s="5"/>
      <c r="H148" s="52"/>
      <c r="I148" s="52"/>
      <c r="J148" s="52"/>
      <c r="K148" s="52"/>
    </row>
    <row r="149" spans="1:11" hidden="1" x14ac:dyDescent="0.4">
      <c r="A149" s="3"/>
      <c r="B149" s="187" t="str">
        <f>'Product List'!B29</f>
        <v xml:space="preserve">PressToCheck Filters - ABEK1P3 </v>
      </c>
      <c r="C149" s="41">
        <f>'Product List'!F29</f>
        <v>0</v>
      </c>
      <c r="D149" s="191">
        <f>SUMPRODUCT((F191:J214="RPKE-000-018")*('2 Stand Configurator'!Z31))</f>
        <v>1</v>
      </c>
      <c r="E149" s="52"/>
      <c r="F149" s="52"/>
      <c r="G149" s="5"/>
      <c r="H149" s="52"/>
      <c r="I149" s="52"/>
      <c r="J149" s="52"/>
      <c r="K149" s="52"/>
    </row>
    <row r="150" spans="1:11" ht="15" hidden="1" customHeight="1" x14ac:dyDescent="0.4">
      <c r="A150" s="3"/>
      <c r="B150" s="187" t="e">
        <f>'Product List'!#REF!</f>
        <v>#REF!</v>
      </c>
      <c r="C150" s="41" t="e">
        <f>'Product List'!#REF!</f>
        <v>#REF!</v>
      </c>
      <c r="D150" s="191">
        <f>SUMPRODUCT((F191:J214="RPKE-000-019")*('2 Stand Configurator'!Z31))</f>
        <v>0</v>
      </c>
      <c r="E150" s="52"/>
      <c r="F150" s="52"/>
      <c r="G150" s="5"/>
      <c r="H150" s="52"/>
      <c r="I150" s="52"/>
      <c r="J150" s="52"/>
      <c r="K150" s="52"/>
    </row>
    <row r="151" spans="1:11" ht="15" hidden="1" customHeight="1" x14ac:dyDescent="0.4">
      <c r="A151" s="3"/>
      <c r="B151" s="187" t="e">
        <f>'Product List'!#REF!</f>
        <v>#REF!</v>
      </c>
      <c r="C151" s="41" t="e">
        <f>'Product List'!#REF!</f>
        <v>#REF!</v>
      </c>
      <c r="D151" s="191">
        <f>SUMPRODUCT((F191:J214="RPKE-000-020")*('2 Stand Configurator'!Z31))</f>
        <v>0</v>
      </c>
      <c r="E151" s="52"/>
      <c r="F151" s="52"/>
      <c r="G151" s="5"/>
      <c r="H151" s="52"/>
      <c r="I151" s="52"/>
      <c r="J151" s="52"/>
      <c r="K151" s="52"/>
    </row>
    <row r="152" spans="1:11" ht="15" hidden="1" customHeight="1" x14ac:dyDescent="0.4">
      <c r="A152" s="3"/>
      <c r="B152" s="187" t="e">
        <f>'Product List'!#REF!</f>
        <v>#REF!</v>
      </c>
      <c r="C152" s="41" t="e">
        <f>'Product List'!#REF!</f>
        <v>#REF!</v>
      </c>
      <c r="D152" s="191">
        <f>SUMPRODUCT((F191:J214="RPKE-000-021")*('2 Stand Configurator'!Z31))</f>
        <v>0</v>
      </c>
      <c r="E152" s="52"/>
      <c r="F152" s="52"/>
      <c r="G152" s="5"/>
      <c r="H152" s="52"/>
      <c r="I152" s="52"/>
      <c r="J152" s="52"/>
      <c r="K152" s="52"/>
    </row>
    <row r="153" spans="1:11" ht="15" hidden="1" customHeight="1" x14ac:dyDescent="0.4">
      <c r="A153" s="3"/>
      <c r="B153" s="187" t="str">
        <f>'Product List'!B30</f>
        <v>Stealth8000 Safety Spectacles - Clear</v>
      </c>
      <c r="C153" s="41">
        <f>'Product List'!F30</f>
        <v>0</v>
      </c>
      <c r="D153" s="191">
        <f>SUMPRODUCT((F191:J214="RPKE-000-022")*('2 Stand Configurator'!Z31))</f>
        <v>2</v>
      </c>
      <c r="E153" s="52"/>
      <c r="F153" s="52"/>
      <c r="G153" s="5"/>
      <c r="H153" s="52"/>
      <c r="I153" s="52"/>
      <c r="J153" s="52"/>
      <c r="K153" s="52"/>
    </row>
    <row r="154" spans="1:11" ht="15" hidden="1" customHeight="1" x14ac:dyDescent="0.4">
      <c r="A154" s="3"/>
      <c r="B154" s="187" t="str">
        <f>'Product List'!B31</f>
        <v>Stealth8000 Safety Spectacles - Amber</v>
      </c>
      <c r="C154" s="41">
        <f>'Product List'!F31</f>
        <v>0</v>
      </c>
      <c r="D154" s="191">
        <f>SUMPRODUCT((F191:J214="RPKE-000-023")*('2 Stand Configurator'!Z31))</f>
        <v>2</v>
      </c>
      <c r="E154" s="52"/>
      <c r="F154" s="52"/>
      <c r="G154" s="5"/>
      <c r="H154" s="52"/>
      <c r="I154" s="52"/>
      <c r="J154" s="52"/>
      <c r="K154" s="52"/>
    </row>
    <row r="155" spans="1:11" ht="15" hidden="1" customHeight="1" x14ac:dyDescent="0.4">
      <c r="A155" s="3"/>
      <c r="B155" s="187" t="str">
        <f>'Product List'!B32</f>
        <v>Stealth8000 Safety Spectacles - Smoke</v>
      </c>
      <c r="C155" s="41">
        <f>'Product List'!F32</f>
        <v>0</v>
      </c>
      <c r="D155" s="191">
        <f>SUMPRODUCT((F191:J214="RPKE-000-024")*('2 Stand Configurator'!Z31))</f>
        <v>2</v>
      </c>
      <c r="E155" s="52"/>
      <c r="F155" s="52"/>
      <c r="G155" s="5"/>
      <c r="H155" s="52"/>
      <c r="I155" s="52"/>
      <c r="J155" s="52"/>
      <c r="K155" s="52"/>
    </row>
    <row r="156" spans="1:11" ht="15" hidden="1" customHeight="1" x14ac:dyDescent="0.4">
      <c r="A156" s="3"/>
      <c r="B156" s="187" t="str">
        <f>'Product List'!B33</f>
        <v>Stealth8000 Safety Spectacles - In/Out</v>
      </c>
      <c r="C156" s="41">
        <f>'Product List'!F33</f>
        <v>0</v>
      </c>
      <c r="D156" s="191">
        <f>SUMPRODUCT((F191:J214="RPKE-000-025")*('2 Stand Configurator'!Z31))</f>
        <v>1</v>
      </c>
      <c r="E156" s="52"/>
      <c r="F156" s="52"/>
      <c r="G156" s="5"/>
      <c r="H156" s="52"/>
      <c r="I156" s="52"/>
      <c r="J156" s="52"/>
      <c r="K156" s="52"/>
    </row>
    <row r="157" spans="1:11" ht="15" hidden="1" customHeight="1" x14ac:dyDescent="0.4">
      <c r="A157" s="3"/>
      <c r="B157" s="187" t="str">
        <f>'Product List'!B34</f>
        <v>Stealth16g Safety Spectacles - Clear</v>
      </c>
      <c r="C157" s="41">
        <f>'Product List'!F34</f>
        <v>0</v>
      </c>
      <c r="D157" s="191">
        <f>SUMPRODUCT((F191:J214="RPKE-000-026")*('2 Stand Configurator'!Z31))</f>
        <v>1</v>
      </c>
      <c r="E157" s="52"/>
      <c r="F157" s="52"/>
      <c r="G157" s="5"/>
      <c r="H157" s="52"/>
      <c r="I157" s="52"/>
      <c r="J157" s="52"/>
      <c r="K157" s="52"/>
    </row>
    <row r="158" spans="1:11" ht="15" hidden="1" customHeight="1" x14ac:dyDescent="0.4">
      <c r="A158" s="3"/>
      <c r="B158" s="187" t="str">
        <f>'Product List'!B35</f>
        <v>Stealth16g Safety Spectacles - Amber</v>
      </c>
      <c r="C158" s="41">
        <f>'Product List'!F35</f>
        <v>0</v>
      </c>
      <c r="D158" s="191">
        <f>SUMPRODUCT((F191:J214="RPKE-000-027")*('2 Stand Configurator'!Z31))</f>
        <v>1</v>
      </c>
      <c r="E158" s="52"/>
      <c r="F158" s="52"/>
      <c r="G158" s="5"/>
      <c r="H158" s="52"/>
      <c r="I158" s="52"/>
      <c r="J158" s="52"/>
      <c r="K158" s="52"/>
    </row>
    <row r="159" spans="1:11" ht="15" hidden="1" customHeight="1" x14ac:dyDescent="0.4">
      <c r="A159" s="3"/>
      <c r="B159" s="187" t="str">
        <f>'Product List'!B36</f>
        <v>Stealth16g Safety Spectacles - Smoke</v>
      </c>
      <c r="C159" s="41">
        <f>'Product List'!F36</f>
        <v>0</v>
      </c>
      <c r="D159" s="191">
        <f>SUMPRODUCT((F191:J214="RPKE-000-028")*('2 Stand Configurator'!Z31))</f>
        <v>1</v>
      </c>
      <c r="E159" s="52"/>
      <c r="F159" s="52"/>
      <c r="G159" s="5"/>
      <c r="H159" s="52"/>
      <c r="I159" s="52"/>
      <c r="J159" s="52"/>
      <c r="K159" s="52"/>
    </row>
    <row r="160" spans="1:11" ht="15" hidden="1" customHeight="1" x14ac:dyDescent="0.4">
      <c r="A160" s="3"/>
      <c r="B160" s="187" t="str">
        <f>'Product List'!B37</f>
        <v>Stealth LED</v>
      </c>
      <c r="C160" s="41">
        <f>'Product List'!F37</f>
        <v>0</v>
      </c>
      <c r="D160" s="191">
        <f>SUMPRODUCT((F191:J214="RPKE-000-051")*('2 Stand Configurator'!Z31))</f>
        <v>0</v>
      </c>
      <c r="E160" s="52"/>
      <c r="F160" s="52"/>
      <c r="G160" s="5"/>
      <c r="H160" s="52"/>
      <c r="I160" s="52"/>
      <c r="J160" s="52"/>
      <c r="K160" s="52"/>
    </row>
    <row r="161" spans="1:11" ht="15" hidden="1" customHeight="1" x14ac:dyDescent="0.4">
      <c r="A161" s="3"/>
      <c r="B161" s="187" t="str">
        <f>'Product List'!B38</f>
        <v>PPE Cleaning Sachets x 100</v>
      </c>
      <c r="C161" s="41">
        <f>'Product List'!F38</f>
        <v>0</v>
      </c>
      <c r="D161" s="191">
        <f>SUMPRODUCT((F191:J214="RPKE-000-050")*('2 Stand Configurator'!Z31))</f>
        <v>0</v>
      </c>
      <c r="E161" s="52"/>
      <c r="F161" s="52"/>
      <c r="G161" s="5"/>
      <c r="H161" s="52"/>
      <c r="I161" s="52"/>
      <c r="J161" s="52"/>
      <c r="K161" s="52"/>
    </row>
    <row r="162" spans="1:11" hidden="1" x14ac:dyDescent="0.4">
      <c r="A162" s="3"/>
      <c r="B162" s="187" t="str">
        <f>'Product List'!B39</f>
        <v>Stealth CoverLite OverSpec - Clear</v>
      </c>
      <c r="C162" s="41">
        <f>'Product List'!F39</f>
        <v>0</v>
      </c>
      <c r="D162" s="191">
        <f>SUMPRODUCT((F191:J214="RPKE-000-029")*('2 Stand Configurator'!Z31))</f>
        <v>2</v>
      </c>
      <c r="E162" s="52"/>
      <c r="F162" s="52"/>
      <c r="G162" s="5"/>
      <c r="H162" s="52"/>
      <c r="I162" s="52"/>
      <c r="J162" s="52"/>
      <c r="K162" s="52"/>
    </row>
    <row r="163" spans="1:11" hidden="1" x14ac:dyDescent="0.4">
      <c r="A163" s="3"/>
      <c r="B163" s="187" t="str">
        <f>'Product List'!B40</f>
        <v>Stealth CoverLite OverSpec- Smoke</v>
      </c>
      <c r="C163" s="41">
        <f>'Product List'!F40</f>
        <v>0</v>
      </c>
      <c r="D163" s="191">
        <f>SUMPRODUCT((F191:J214="RPKE-000-030")*('2 Stand Configurator'!Z31))</f>
        <v>0</v>
      </c>
      <c r="E163" s="52"/>
      <c r="F163" s="52"/>
      <c r="G163" s="5"/>
      <c r="H163" s="52"/>
      <c r="I163" s="52"/>
      <c r="J163" s="52"/>
      <c r="K163" s="52"/>
    </row>
    <row r="164" spans="1:11" hidden="1" x14ac:dyDescent="0.4">
      <c r="A164" s="3"/>
      <c r="B164" s="187" t="str">
        <f>'Product List'!B41</f>
        <v>EVOGoggle - Safety Goggle</v>
      </c>
      <c r="C164" s="41">
        <f>'Product List'!F41</f>
        <v>0</v>
      </c>
      <c r="D164" s="191">
        <f>SUMPRODUCT((F191:J214="RPKE-000-031")*('2 Stand Configurator'!Z31))</f>
        <v>2</v>
      </c>
      <c r="E164" s="52"/>
      <c r="F164" s="52"/>
      <c r="G164" s="5"/>
      <c r="H164" s="52"/>
      <c r="I164" s="52"/>
      <c r="J164" s="52"/>
      <c r="K164" s="52"/>
    </row>
    <row r="165" spans="1:11" hidden="1" x14ac:dyDescent="0.4">
      <c r="A165" s="3"/>
      <c r="B165" s="187" t="str">
        <f>'Product List'!B42</f>
        <v>Sonis1 Headbanded Ear defender - SNR 27</v>
      </c>
      <c r="C165" s="41">
        <f>'Product List'!F42</f>
        <v>0</v>
      </c>
      <c r="D165" s="191">
        <f>SUMPRODUCT((F191:J214="RPKE-000-032")*('2 Stand Configurator'!Z31))</f>
        <v>2</v>
      </c>
      <c r="E165" s="52"/>
      <c r="F165" s="52"/>
      <c r="G165" s="5"/>
      <c r="H165" s="52"/>
      <c r="I165" s="52"/>
      <c r="J165" s="52"/>
      <c r="K165" s="52"/>
    </row>
    <row r="166" spans="1:11" hidden="1" x14ac:dyDescent="0.4">
      <c r="A166" s="3"/>
      <c r="B166" s="187" t="str">
        <f>'Product List'!B43</f>
        <v>Sonis2 Headbanded Ear defender - SNR 28</v>
      </c>
      <c r="C166" s="41">
        <f>'Product List'!F43</f>
        <v>0</v>
      </c>
      <c r="D166" s="191">
        <f>SUMPRODUCT((F191:J214="RPKE-000-033")*('2 Stand Configurator'!Z31))</f>
        <v>0</v>
      </c>
      <c r="E166" s="52"/>
      <c r="F166" s="52"/>
      <c r="G166" s="5"/>
      <c r="H166" s="52"/>
      <c r="I166" s="52"/>
      <c r="J166" s="52"/>
      <c r="K166" s="52"/>
    </row>
    <row r="167" spans="1:11" hidden="1" x14ac:dyDescent="0.4">
      <c r="A167" s="3"/>
      <c r="B167" s="187" t="str">
        <f>'Product List'!B44</f>
        <v>SonisC Headbanded Ear defender - SNR 32</v>
      </c>
      <c r="C167" s="41">
        <f>'Product List'!F44</f>
        <v>0</v>
      </c>
      <c r="D167" s="191">
        <f>SUMPRODUCT((F191:J214="RPKE-000-034")*('2 Stand Configurator'!Z31))</f>
        <v>2</v>
      </c>
      <c r="E167" s="52"/>
      <c r="F167" s="52"/>
      <c r="G167" s="5"/>
      <c r="H167" s="52"/>
      <c r="I167" s="52"/>
      <c r="J167" s="52"/>
      <c r="K167" s="52"/>
    </row>
    <row r="168" spans="1:11" hidden="1" x14ac:dyDescent="0.4">
      <c r="A168" s="3"/>
      <c r="B168" s="187" t="str">
        <f>'Product List'!B45</f>
        <v>Sonis3 Headbanded Ear defender - SNR 37</v>
      </c>
      <c r="C168" s="41">
        <f>'Product List'!F45</f>
        <v>0</v>
      </c>
      <c r="D168" s="191">
        <f>SUMPRODUCT((F191:J214="RPKE-000-035")*('2 Stand Configurator'!Z31))</f>
        <v>2</v>
      </c>
      <c r="E168" s="52"/>
      <c r="F168" s="52"/>
      <c r="G168" s="5"/>
      <c r="H168" s="52"/>
      <c r="I168" s="52"/>
      <c r="J168" s="52"/>
      <c r="K168" s="52"/>
    </row>
    <row r="169" spans="1:11" hidden="1" x14ac:dyDescent="0.4">
      <c r="A169" s="3"/>
      <c r="B169" s="187" t="str">
        <f>'Product List'!B46</f>
        <v>Sonis1 Helmet Mounted Ear defender - SNR 26</v>
      </c>
      <c r="C169" s="41">
        <f>'Product List'!F46</f>
        <v>0</v>
      </c>
      <c r="D169" s="191">
        <f>SUMPRODUCT((F191:J214="RPKE-000-036")*('2 Stand Configurator'!Z31))</f>
        <v>0</v>
      </c>
      <c r="E169" s="52"/>
      <c r="F169" s="52"/>
      <c r="G169" s="5"/>
      <c r="H169" s="52"/>
      <c r="I169" s="52"/>
      <c r="J169" s="52"/>
      <c r="K169" s="52"/>
    </row>
    <row r="170" spans="1:11" hidden="1" x14ac:dyDescent="0.4">
      <c r="A170" s="3"/>
      <c r="B170" s="187" t="str">
        <f>'Product List'!B47</f>
        <v>SonisC Helmet Mounted Ear defender - SNR 31</v>
      </c>
      <c r="C170" s="41">
        <f>'Product List'!F47</f>
        <v>0</v>
      </c>
      <c r="D170" s="191">
        <f>SUMPRODUCT((F191:J214="RPKE-000-037")*('2 Stand Configurator'!Z31))</f>
        <v>2</v>
      </c>
      <c r="E170" s="52"/>
      <c r="F170" s="52"/>
      <c r="G170" s="5"/>
      <c r="H170" s="52"/>
      <c r="I170" s="52"/>
      <c r="J170" s="52"/>
      <c r="K170" s="52"/>
    </row>
    <row r="171" spans="1:11" hidden="1" x14ac:dyDescent="0.4">
      <c r="A171" s="3"/>
      <c r="B171" s="187" t="str">
        <f>'Product List'!B48</f>
        <v>Sonis3 Helmet Mounted Ear defender - SNR 36</v>
      </c>
      <c r="C171" s="41">
        <f>'Product List'!F48</f>
        <v>0</v>
      </c>
      <c r="D171" s="191">
        <f>SUMPRODUCT((F191:J214="RPKE-000-038")*('2 Stand Configurator'!Z31))</f>
        <v>0</v>
      </c>
      <c r="E171" s="52"/>
      <c r="F171" s="52"/>
      <c r="G171" s="5"/>
      <c r="H171" s="52"/>
      <c r="I171" s="52"/>
      <c r="J171" s="52"/>
      <c r="K171" s="52"/>
    </row>
    <row r="172" spans="1:11" hidden="1" x14ac:dyDescent="0.4">
      <c r="A172" s="3"/>
      <c r="B172" s="187" t="str">
        <f>'Product List'!B49</f>
        <v>SoundStopper Banded Ear Plug</v>
      </c>
      <c r="C172" s="41">
        <f>'Product List'!F49</f>
        <v>0</v>
      </c>
      <c r="D172" s="191">
        <f>SUMPRODUCT((F191:J214="RPKE-000-039")*('2 Stand Configurator'!Z31))</f>
        <v>2</v>
      </c>
      <c r="E172" s="52"/>
      <c r="F172" s="52"/>
      <c r="G172" s="5"/>
      <c r="H172" s="52"/>
      <c r="I172" s="52"/>
      <c r="J172" s="52"/>
      <c r="K172" s="52"/>
    </row>
    <row r="173" spans="1:11" hidden="1" x14ac:dyDescent="0.4">
      <c r="A173" s="3"/>
      <c r="B173" s="187" t="str">
        <f>'Product List'!B50</f>
        <v>Force10 - FullFace Mask - Medium</v>
      </c>
      <c r="C173" s="41">
        <f>'Product List'!F50</f>
        <v>0</v>
      </c>
      <c r="D173" s="191">
        <f>SUMPRODUCT((F191:J214="RPKE-000-040")*('2 Stand Configurator'!Z31))</f>
        <v>1</v>
      </c>
      <c r="E173" s="52"/>
      <c r="F173" s="52"/>
      <c r="G173" s="5"/>
      <c r="H173" s="52"/>
      <c r="I173" s="52"/>
      <c r="J173" s="52"/>
      <c r="K173" s="52"/>
    </row>
    <row r="174" spans="1:11" hidden="1" x14ac:dyDescent="0.4">
      <c r="A174" s="3"/>
      <c r="B174" s="187" t="str">
        <f>'Product List'!B51</f>
        <v>Force10 - FullFace Mask - Large</v>
      </c>
      <c r="C174" s="41">
        <f>'Product List'!F51</f>
        <v>0</v>
      </c>
      <c r="D174" s="191">
        <f>SUMPRODUCT((F191:J214="RPKE-000-041")*('2 Stand Configurator'!Z31))</f>
        <v>0</v>
      </c>
      <c r="E174" s="52"/>
      <c r="F174" s="52"/>
      <c r="G174" s="5"/>
      <c r="H174" s="52"/>
      <c r="I174" s="52"/>
      <c r="J174" s="52"/>
      <c r="K174" s="52"/>
    </row>
    <row r="175" spans="1:11" hidden="1" x14ac:dyDescent="0.4">
      <c r="A175" s="3"/>
      <c r="B175" s="187" t="str">
        <f>'Product List'!B52</f>
        <v>Force10 - FullFace Mask - Medium (UK)</v>
      </c>
      <c r="C175" s="41">
        <f>'Product List'!F52</f>
        <v>0</v>
      </c>
      <c r="D175" s="191">
        <f>SUMPRODUCT((F191:J214="RPKE-000-040")*('2 Stand Configurator'!Z31))</f>
        <v>1</v>
      </c>
      <c r="E175" s="52"/>
      <c r="F175" s="52"/>
      <c r="G175" s="5"/>
      <c r="H175" s="52"/>
      <c r="I175" s="52"/>
      <c r="J175" s="52"/>
      <c r="K175" s="52"/>
    </row>
    <row r="176" spans="1:11" hidden="1" x14ac:dyDescent="0.4">
      <c r="A176" s="3"/>
      <c r="B176" s="187" t="str">
        <f>'Product List'!B53</f>
        <v xml:space="preserve">BushMaster Landscaping unit - Polycarb </v>
      </c>
      <c r="C176" s="41">
        <f>'Product List'!F53</f>
        <v>0</v>
      </c>
      <c r="D176" s="191">
        <f>SUMPRODUCT((F191:J214="RPKE-000-042")*('2 Stand Configurator'!Z31))</f>
        <v>1</v>
      </c>
      <c r="E176" s="52"/>
      <c r="F176" s="52"/>
      <c r="G176" s="5"/>
      <c r="H176" s="52"/>
      <c r="I176" s="52"/>
      <c r="J176" s="52"/>
      <c r="K176" s="52"/>
    </row>
    <row r="177" spans="1:11" hidden="1" x14ac:dyDescent="0.4">
      <c r="A177" s="3"/>
      <c r="B177" s="187" t="str">
        <f>'Product List'!B54</f>
        <v>BushMaster Landscaping unit - Wire guaze</v>
      </c>
      <c r="C177" s="41">
        <f>'Product List'!F54</f>
        <v>0</v>
      </c>
      <c r="D177" s="191">
        <f>SUMPRODUCT((F191:J214="RPKE-000-043")*('2 Stand Configurator'!Z31))</f>
        <v>1</v>
      </c>
      <c r="E177" s="52"/>
      <c r="F177" s="52"/>
      <c r="G177" s="5"/>
      <c r="H177" s="52"/>
      <c r="I177" s="52"/>
      <c r="J177" s="52"/>
      <c r="K177" s="52"/>
    </row>
    <row r="178" spans="1:11" hidden="1" x14ac:dyDescent="0.4">
      <c r="A178" s="3"/>
      <c r="B178" s="187" t="str">
        <f>'Product List'!B55</f>
        <v>EVOLite Forester Forestry unit</v>
      </c>
      <c r="C178" s="41">
        <f>'Product List'!F55</f>
        <v>0</v>
      </c>
      <c r="D178" s="191">
        <f>SUMPRODUCT((F191:J214="RPKE-000-044")*('2 Stand Configurator'!Z31))</f>
        <v>1</v>
      </c>
      <c r="E178" s="52"/>
      <c r="F178" s="52"/>
      <c r="G178" s="5"/>
      <c r="H178" s="52"/>
      <c r="I178" s="52"/>
      <c r="J178" s="52"/>
      <c r="K178" s="52"/>
    </row>
    <row r="179" spans="1:11" hidden="1" x14ac:dyDescent="0.4">
      <c r="A179" s="3"/>
      <c r="B179" s="187" t="str">
        <f>'Product List'!B56</f>
        <v>EVOGuard M3 Landscaping browguard system</v>
      </c>
      <c r="C179" s="41">
        <f>'Product List'!F56</f>
        <v>0</v>
      </c>
      <c r="D179" s="191">
        <f>SUMPRODUCT((F191:J214="RPKE-000-045")*('2 Stand Configurator'!Z31))</f>
        <v>0</v>
      </c>
      <c r="E179" s="52"/>
      <c r="F179" s="52"/>
      <c r="G179" s="5"/>
      <c r="H179" s="52"/>
      <c r="I179" s="52"/>
      <c r="J179" s="52"/>
      <c r="K179" s="52"/>
    </row>
    <row r="180" spans="1:11" hidden="1" x14ac:dyDescent="0.4">
      <c r="A180" s="3"/>
      <c r="B180" s="187" t="str">
        <f>'Product List'!B57</f>
        <v>EVOGuard C2 Industrial Browguard System</v>
      </c>
      <c r="C180" s="41">
        <f>'Product List'!F57</f>
        <v>0</v>
      </c>
      <c r="D180" s="191">
        <f>SUMPRODUCT((F191:J214="RPKE-000-046")*('2 Stand Configurator'!Z31))</f>
        <v>0</v>
      </c>
      <c r="E180" s="52"/>
      <c r="F180" s="52"/>
      <c r="G180" s="5"/>
      <c r="H180" s="52"/>
      <c r="I180" s="52"/>
      <c r="J180" s="52"/>
      <c r="K180" s="52"/>
    </row>
    <row r="181" spans="1:11" hidden="1" x14ac:dyDescent="0.4">
      <c r="A181" s="3"/>
      <c r="B181" s="187" t="str">
        <f>'Product List'!B58</f>
        <v>EVOGuard M3 Forestry helmet</v>
      </c>
      <c r="C181" s="41">
        <f>'Product List'!F58</f>
        <v>0</v>
      </c>
      <c r="D181" s="191">
        <f>SUMPRODUCT((F191:J214="RPKE-000-047")*('2 Stand Configurator'!Z31))</f>
        <v>0</v>
      </c>
      <c r="E181" s="52"/>
      <c r="F181" s="52"/>
      <c r="G181" s="5"/>
      <c r="H181" s="52"/>
      <c r="I181" s="52"/>
      <c r="J181" s="52"/>
      <c r="K181" s="52"/>
    </row>
    <row r="182" spans="1:11" hidden="1" x14ac:dyDescent="0.4">
      <c r="A182" s="3"/>
      <c r="B182" s="187" t="str">
        <f>'Product List'!B59</f>
        <v>EVOGuard C5Max Electrical helmet</v>
      </c>
      <c r="C182" s="41">
        <f>'Product List'!F59</f>
        <v>0</v>
      </c>
      <c r="D182" s="191">
        <f>SUMPRODUCT((F191:J214="RPKE-000-048")*('2 Stand Configurator'!Z31))</f>
        <v>0</v>
      </c>
      <c r="E182" s="52"/>
      <c r="F182" s="52"/>
      <c r="G182" s="5"/>
      <c r="H182" s="52"/>
      <c r="I182" s="52"/>
      <c r="J182" s="52"/>
      <c r="K182" s="52"/>
    </row>
    <row r="183" spans="1:11" hidden="1" x14ac:dyDescent="0.4">
      <c r="A183" s="3"/>
      <c r="B183" s="187" t="str">
        <f>'Product List'!B60</f>
        <v>EVOLite Skyworker - Working at Height Helmet</v>
      </c>
      <c r="C183" s="41">
        <f>'Product List'!F60</f>
        <v>0</v>
      </c>
      <c r="D183" s="191">
        <f>SUMPRODUCT((F191:J214="RPKE-000-007")*('2 Stand Configurator'!Z31))</f>
        <v>1</v>
      </c>
      <c r="E183" s="52"/>
      <c r="F183" s="52"/>
      <c r="G183" s="5"/>
      <c r="H183" s="52"/>
      <c r="I183" s="52"/>
      <c r="J183" s="52"/>
      <c r="K183" s="52"/>
    </row>
    <row r="184" spans="1:11" x14ac:dyDescent="0.4">
      <c r="A184" s="3"/>
      <c r="B184" s="52"/>
      <c r="C184" s="5"/>
      <c r="D184" s="5"/>
      <c r="E184" s="52"/>
      <c r="F184" s="52"/>
      <c r="G184" s="5"/>
      <c r="H184" s="52"/>
      <c r="I184" s="52"/>
      <c r="J184" s="52"/>
      <c r="K184" s="52"/>
    </row>
    <row r="185" spans="1:11" x14ac:dyDescent="0.4">
      <c r="A185" s="3"/>
      <c r="B185" s="52"/>
      <c r="C185" s="5"/>
      <c r="D185" s="5"/>
      <c r="E185" s="52"/>
      <c r="F185" s="52"/>
      <c r="G185" s="5"/>
      <c r="H185" s="52"/>
      <c r="I185" s="52"/>
      <c r="J185" s="52"/>
      <c r="K185" s="52"/>
    </row>
    <row r="186" spans="1:11" x14ac:dyDescent="0.4">
      <c r="A186" s="3"/>
      <c r="B186" s="52"/>
      <c r="C186" s="5"/>
      <c r="D186" s="5"/>
      <c r="E186" s="52"/>
      <c r="F186" s="280" t="s">
        <v>172</v>
      </c>
      <c r="G186" s="279"/>
      <c r="H186" s="281"/>
      <c r="I186" s="281"/>
      <c r="J186" s="281"/>
      <c r="K186" s="52"/>
    </row>
    <row r="187" spans="1:11" x14ac:dyDescent="0.4">
      <c r="A187" s="3"/>
      <c r="B187" s="52"/>
      <c r="C187" s="5"/>
      <c r="D187" s="5"/>
      <c r="E187" s="52"/>
      <c r="F187" s="279" t="s">
        <v>181</v>
      </c>
      <c r="G187" s="279"/>
      <c r="H187" s="279"/>
      <c r="I187" s="279"/>
      <c r="J187" s="279"/>
      <c r="K187" s="52"/>
    </row>
    <row r="188" spans="1:11" x14ac:dyDescent="0.4">
      <c r="A188" s="3"/>
      <c r="B188" s="52"/>
      <c r="C188" s="5"/>
      <c r="D188" s="5"/>
      <c r="E188" s="52"/>
      <c r="F188" s="52"/>
      <c r="G188" s="5"/>
      <c r="H188" s="52"/>
      <c r="I188" s="52"/>
      <c r="J188" s="52"/>
      <c r="K188" s="52"/>
    </row>
    <row r="189" spans="1:11" ht="29.15" x14ac:dyDescent="0.4">
      <c r="A189" s="3"/>
      <c r="B189" s="52"/>
      <c r="C189" s="5"/>
      <c r="D189" s="5"/>
      <c r="E189" s="52"/>
      <c r="F189" s="9" t="s">
        <v>61</v>
      </c>
      <c r="G189" s="40" t="s">
        <v>62</v>
      </c>
      <c r="H189" s="52"/>
      <c r="I189" s="9" t="s">
        <v>61</v>
      </c>
      <c r="J189" s="40" t="s">
        <v>62</v>
      </c>
      <c r="K189" s="52"/>
    </row>
    <row r="190" spans="1:11" x14ac:dyDescent="0.4">
      <c r="A190" s="3"/>
      <c r="B190" s="52"/>
      <c r="C190" s="5"/>
      <c r="D190" s="5"/>
      <c r="E190" s="52"/>
      <c r="F190" s="5"/>
      <c r="G190" s="192"/>
      <c r="H190" s="52"/>
      <c r="I190" s="52"/>
      <c r="J190" s="52"/>
      <c r="K190" s="52"/>
    </row>
    <row r="191" spans="1:11" x14ac:dyDescent="0.4">
      <c r="A191" s="3"/>
      <c r="B191" s="52"/>
      <c r="C191" s="5"/>
      <c r="D191" s="5"/>
      <c r="E191" s="52"/>
      <c r="F191" s="41">
        <f>'2 Stand Configurator'!E7</f>
        <v>1</v>
      </c>
      <c r="G191" s="41" t="str">
        <f>'2 Stand Configurator'!D7</f>
        <v>RPKE-000-022</v>
      </c>
      <c r="H191" s="52"/>
      <c r="I191" s="41">
        <f>'2 Stand Configurator'!E31</f>
        <v>25</v>
      </c>
      <c r="J191" s="41" t="str">
        <f>'2 Stand Configurator'!D31</f>
        <v>RPKE-000-005</v>
      </c>
      <c r="K191" s="52"/>
    </row>
    <row r="192" spans="1:11" x14ac:dyDescent="0.4">
      <c r="A192" s="3"/>
      <c r="B192" s="52"/>
      <c r="C192" s="5"/>
      <c r="D192" s="5"/>
      <c r="E192" s="52"/>
      <c r="F192" s="41">
        <f>'2 Stand Configurator'!E8</f>
        <v>2</v>
      </c>
      <c r="G192" s="41" t="str">
        <f>'2 Stand Configurator'!D8</f>
        <v>RPKE-000-023</v>
      </c>
      <c r="H192" s="52"/>
      <c r="I192" s="41">
        <f>'2 Stand Configurator'!E32</f>
        <v>26</v>
      </c>
      <c r="J192" s="41" t="str">
        <f>'2 Stand Configurator'!D32</f>
        <v>RPKE-000-004</v>
      </c>
      <c r="K192" s="52"/>
    </row>
    <row r="193" spans="1:11" x14ac:dyDescent="0.4">
      <c r="A193" s="3"/>
      <c r="B193" s="52"/>
      <c r="C193" s="5"/>
      <c r="D193" s="5"/>
      <c r="E193" s="52"/>
      <c r="F193" s="41">
        <f>'2 Stand Configurator'!E9</f>
        <v>3</v>
      </c>
      <c r="G193" s="41" t="str">
        <f>'2 Stand Configurator'!D9</f>
        <v>RPKE-000-024</v>
      </c>
      <c r="H193" s="52"/>
      <c r="I193" s="41">
        <f>'2 Stand Configurator'!E33</f>
        <v>27</v>
      </c>
      <c r="J193" s="41" t="str">
        <f>'2 Stand Configurator'!D33</f>
        <v>RPKE-000-002</v>
      </c>
      <c r="K193" s="52"/>
    </row>
    <row r="194" spans="1:11" x14ac:dyDescent="0.4">
      <c r="A194" s="3"/>
      <c r="B194" s="52"/>
      <c r="C194" s="5"/>
      <c r="D194" s="5"/>
      <c r="E194" s="52"/>
      <c r="F194" s="41">
        <f>'2 Stand Configurator'!E10</f>
        <v>4</v>
      </c>
      <c r="G194" s="41" t="str">
        <f>'2 Stand Configurator'!D10</f>
        <v>RPKE-000-026</v>
      </c>
      <c r="H194" s="52"/>
      <c r="I194" s="41">
        <f>'2 Stand Configurator'!E34</f>
        <v>28</v>
      </c>
      <c r="J194" s="41" t="str">
        <f>'2 Stand Configurator'!D34</f>
        <v>RPKE-000-007</v>
      </c>
      <c r="K194" s="52"/>
    </row>
    <row r="195" spans="1:11" x14ac:dyDescent="0.4">
      <c r="A195" s="3"/>
      <c r="B195" s="52"/>
      <c r="C195" s="5"/>
      <c r="D195" s="5"/>
      <c r="E195" s="52"/>
      <c r="F195" s="41">
        <f>'2 Stand Configurator'!E11</f>
        <v>5</v>
      </c>
      <c r="G195" s="41" t="str">
        <f>'2 Stand Configurator'!D11</f>
        <v>RPKE-000-027</v>
      </c>
      <c r="H195" s="52"/>
      <c r="I195" s="41">
        <f>'2 Stand Configurator'!E35</f>
        <v>29</v>
      </c>
      <c r="J195" s="41" t="str">
        <f>'2 Stand Configurator'!D35</f>
        <v>RPKE-000-008</v>
      </c>
      <c r="K195" s="52"/>
    </row>
    <row r="196" spans="1:11" x14ac:dyDescent="0.4">
      <c r="A196" s="3"/>
      <c r="B196" s="52"/>
      <c r="C196" s="5"/>
      <c r="D196" s="5"/>
      <c r="E196" s="52"/>
      <c r="F196" s="41">
        <f>'2 Stand Configurator'!E12</f>
        <v>6</v>
      </c>
      <c r="G196" s="41" t="str">
        <f>'2 Stand Configurator'!D12</f>
        <v>RPKE-000-028</v>
      </c>
      <c r="H196" s="52"/>
      <c r="I196" s="41">
        <f>'2 Stand Configurator'!E36</f>
        <v>30</v>
      </c>
      <c r="J196" s="41" t="str">
        <f>'2 Stand Configurator'!D36</f>
        <v>RPKE-000-009</v>
      </c>
      <c r="K196" s="52"/>
    </row>
    <row r="197" spans="1:11" x14ac:dyDescent="0.4">
      <c r="A197" s="3"/>
      <c r="B197" s="52"/>
      <c r="C197" s="5"/>
      <c r="D197" s="5"/>
      <c r="E197" s="52"/>
      <c r="F197" s="41">
        <f>'2 Stand Configurator'!E13</f>
        <v>7</v>
      </c>
      <c r="G197" s="41" t="str">
        <f>'2 Stand Configurator'!D13</f>
        <v>RPKE-000-022</v>
      </c>
      <c r="H197" s="52"/>
      <c r="I197" s="41">
        <f>'2 Stand Configurator'!E37</f>
        <v>31</v>
      </c>
      <c r="J197" s="41" t="str">
        <f>'2 Stand Configurator'!D37</f>
        <v>RPKE-000-009</v>
      </c>
      <c r="K197" s="52"/>
    </row>
    <row r="198" spans="1:11" x14ac:dyDescent="0.4">
      <c r="A198" s="3"/>
      <c r="B198" s="52"/>
      <c r="C198" s="5"/>
      <c r="D198" s="5"/>
      <c r="E198" s="52"/>
      <c r="F198" s="41">
        <f>'2 Stand Configurator'!E14</f>
        <v>8</v>
      </c>
      <c r="G198" s="41" t="str">
        <f>'2 Stand Configurator'!D14</f>
        <v>RPKE-000-023</v>
      </c>
      <c r="H198" s="52"/>
      <c r="I198" s="41">
        <f>'2 Stand Configurator'!E38</f>
        <v>32</v>
      </c>
      <c r="J198" s="41" t="str">
        <f>'2 Stand Configurator'!D38</f>
        <v>RPKE-000-010</v>
      </c>
      <c r="K198" s="52"/>
    </row>
    <row r="199" spans="1:11" x14ac:dyDescent="0.4">
      <c r="A199" s="3"/>
      <c r="B199" s="52"/>
      <c r="C199" s="5"/>
      <c r="D199" s="5"/>
      <c r="E199" s="52"/>
      <c r="F199" s="41">
        <f>'2 Stand Configurator'!E15</f>
        <v>9</v>
      </c>
      <c r="G199" s="41" t="str">
        <f>'2 Stand Configurator'!D15</f>
        <v>RPKE-000-025</v>
      </c>
      <c r="H199" s="52"/>
      <c r="I199" s="41">
        <f>'2 Stand Configurator'!E39</f>
        <v>33</v>
      </c>
      <c r="J199" s="41" t="str">
        <f>'2 Stand Configurator'!D39</f>
        <v>RPKE-000-011</v>
      </c>
      <c r="K199" s="52"/>
    </row>
    <row r="200" spans="1:11" x14ac:dyDescent="0.4">
      <c r="A200" s="3"/>
      <c r="B200" s="52"/>
      <c r="C200" s="5"/>
      <c r="D200" s="5"/>
      <c r="E200" s="52"/>
      <c r="F200" s="41">
        <f>'2 Stand Configurator'!E16</f>
        <v>10</v>
      </c>
      <c r="G200" s="41" t="str">
        <f>'2 Stand Configurator'!D16</f>
        <v>RPKE-000-024</v>
      </c>
      <c r="H200" s="52"/>
      <c r="I200" s="41">
        <f>'2 Stand Configurator'!E40</f>
        <v>34</v>
      </c>
      <c r="J200" s="41" t="str">
        <f>'2 Stand Configurator'!D40</f>
        <v>RPKE-000-012</v>
      </c>
      <c r="K200" s="52"/>
    </row>
    <row r="201" spans="1:11" x14ac:dyDescent="0.4">
      <c r="A201" s="3"/>
      <c r="B201" s="52"/>
      <c r="C201" s="5"/>
      <c r="D201" s="5"/>
      <c r="E201" s="52"/>
      <c r="F201" s="41">
        <f>'2 Stand Configurator'!E17</f>
        <v>11</v>
      </c>
      <c r="G201" s="41" t="str">
        <f>'2 Stand Configurator'!D17</f>
        <v>RPKE-000-029</v>
      </c>
      <c r="H201" s="52"/>
      <c r="I201" s="41">
        <f>'2 Stand Configurator'!E41</f>
        <v>35</v>
      </c>
      <c r="J201" s="41" t="str">
        <f>'2 Stand Configurator'!D41</f>
        <v>RPKE-000-015</v>
      </c>
      <c r="K201" s="52"/>
    </row>
    <row r="202" spans="1:11" x14ac:dyDescent="0.4">
      <c r="A202" s="3"/>
      <c r="B202" s="52"/>
      <c r="C202" s="5"/>
      <c r="D202" s="5"/>
      <c r="E202" s="52"/>
      <c r="F202" s="41">
        <f>'2 Stand Configurator'!E18</f>
        <v>12</v>
      </c>
      <c r="G202" s="41" t="str">
        <f>'2 Stand Configurator'!D18</f>
        <v>RPKE-000-029</v>
      </c>
      <c r="H202" s="52"/>
      <c r="I202" s="41">
        <f>'2 Stand Configurator'!E42</f>
        <v>36</v>
      </c>
      <c r="J202" s="41" t="str">
        <f>'2 Stand Configurator'!D42</f>
        <v>RPKE-000-015</v>
      </c>
      <c r="K202" s="52"/>
    </row>
    <row r="203" spans="1:11" x14ac:dyDescent="0.4">
      <c r="A203" s="3"/>
      <c r="B203" s="52"/>
      <c r="C203" s="5"/>
      <c r="D203" s="5"/>
      <c r="E203" s="52"/>
      <c r="F203" s="41">
        <f>'2 Stand Configurator'!E19</f>
        <v>13</v>
      </c>
      <c r="G203" s="41" t="str">
        <f>'2 Stand Configurator'!D19</f>
        <v>RPKE-000-031</v>
      </c>
      <c r="H203" s="52"/>
      <c r="I203" s="41">
        <f>'2 Stand Configurator'!E43</f>
        <v>37</v>
      </c>
      <c r="J203" s="41" t="str">
        <f>'2 Stand Configurator'!D43</f>
        <v>RPKE-000-015</v>
      </c>
      <c r="K203" s="52"/>
    </row>
    <row r="204" spans="1:11" x14ac:dyDescent="0.4">
      <c r="A204" s="3"/>
      <c r="B204" s="52"/>
      <c r="C204" s="5"/>
      <c r="D204" s="5"/>
      <c r="E204" s="52"/>
      <c r="F204" s="41">
        <f>'2 Stand Configurator'!E20</f>
        <v>14</v>
      </c>
      <c r="G204" s="41" t="str">
        <f>'2 Stand Configurator'!D20</f>
        <v>RPKE-000-031</v>
      </c>
      <c r="H204" s="52"/>
      <c r="I204" s="41">
        <f>'2 Stand Configurator'!E44</f>
        <v>38</v>
      </c>
      <c r="J204" s="41" t="str">
        <f>'2 Stand Configurator'!D44</f>
        <v>RPKE-000-016</v>
      </c>
      <c r="K204" s="52"/>
    </row>
    <row r="205" spans="1:11" x14ac:dyDescent="0.4">
      <c r="A205" s="3"/>
      <c r="B205" s="52"/>
      <c r="C205" s="5"/>
      <c r="D205" s="5"/>
      <c r="E205" s="52"/>
      <c r="F205" s="41">
        <f>'2 Stand Configurator'!E21</f>
        <v>15</v>
      </c>
      <c r="G205" s="41" t="str">
        <f>'2 Stand Configurator'!D21</f>
        <v>RPKE-000-032</v>
      </c>
      <c r="H205" s="52"/>
      <c r="I205" s="41">
        <f>'2 Stand Configurator'!E45</f>
        <v>39</v>
      </c>
      <c r="J205" s="41" t="str">
        <f>'2 Stand Configurator'!D45</f>
        <v>RPKE-000-016</v>
      </c>
      <c r="K205" s="52"/>
    </row>
    <row r="206" spans="1:11" x14ac:dyDescent="0.4">
      <c r="A206" s="3"/>
      <c r="B206" s="52"/>
      <c r="C206" s="5"/>
      <c r="D206" s="5"/>
      <c r="E206" s="52"/>
      <c r="F206" s="41">
        <f>'2 Stand Configurator'!E22</f>
        <v>16</v>
      </c>
      <c r="G206" s="41" t="str">
        <f>'2 Stand Configurator'!D22</f>
        <v>RPKE-000-034</v>
      </c>
      <c r="H206" s="52"/>
      <c r="I206" s="41">
        <f>'2 Stand Configurator'!E46</f>
        <v>40</v>
      </c>
      <c r="J206" s="41" t="str">
        <f>'2 Stand Configurator'!D46</f>
        <v>RPKE-000-017</v>
      </c>
      <c r="K206" s="52"/>
    </row>
    <row r="207" spans="1:11" x14ac:dyDescent="0.4">
      <c r="A207" s="3"/>
      <c r="B207" s="52"/>
      <c r="C207" s="5"/>
      <c r="D207" s="5"/>
      <c r="E207" s="52"/>
      <c r="F207" s="41">
        <f>'2 Stand Configurator'!E23</f>
        <v>17</v>
      </c>
      <c r="G207" s="41" t="str">
        <f>'2 Stand Configurator'!D23</f>
        <v>RPKE-000-035</v>
      </c>
      <c r="H207" s="52"/>
      <c r="I207" s="41">
        <f>'2 Stand Configurator'!E47</f>
        <v>41</v>
      </c>
      <c r="J207" s="41" t="str">
        <f>'2 Stand Configurator'!D47</f>
        <v>RPKE-000-018</v>
      </c>
      <c r="K207" s="52"/>
    </row>
    <row r="208" spans="1:11" x14ac:dyDescent="0.4">
      <c r="A208" s="3"/>
      <c r="B208" s="52"/>
      <c r="C208" s="5"/>
      <c r="D208" s="5"/>
      <c r="E208" s="52"/>
      <c r="F208" s="41">
        <f>'2 Stand Configurator'!E24</f>
        <v>18</v>
      </c>
      <c r="G208" s="41" t="str">
        <f>'2 Stand Configurator'!D24</f>
        <v>RPKE-000-032</v>
      </c>
      <c r="H208" s="52"/>
      <c r="I208" s="41">
        <f>'2 Stand Configurator'!E48</f>
        <v>42</v>
      </c>
      <c r="J208" s="41" t="str">
        <f>'2 Stand Configurator'!D48</f>
        <v>RPKE-000-013</v>
      </c>
      <c r="K208" s="52"/>
    </row>
    <row r="209" spans="1:11" x14ac:dyDescent="0.4">
      <c r="A209" s="3"/>
      <c r="B209" s="52"/>
      <c r="C209" s="5"/>
      <c r="D209" s="5"/>
      <c r="E209" s="52"/>
      <c r="F209" s="41">
        <f>'2 Stand Configurator'!E25</f>
        <v>19</v>
      </c>
      <c r="G209" s="41" t="str">
        <f>'2 Stand Configurator'!D25</f>
        <v>RPKE-000-034</v>
      </c>
      <c r="H209" s="52"/>
      <c r="I209" s="41">
        <f>'2 Stand Configurator'!E49</f>
        <v>43</v>
      </c>
      <c r="J209" s="41" t="str">
        <f>'2 Stand Configurator'!D49</f>
        <v>RPKE-000-013</v>
      </c>
      <c r="K209" s="52"/>
    </row>
    <row r="210" spans="1:11" x14ac:dyDescent="0.4">
      <c r="A210" s="3"/>
      <c r="B210" s="52"/>
      <c r="C210" s="5"/>
      <c r="D210" s="5"/>
      <c r="E210" s="52"/>
      <c r="F210" s="41">
        <f>'2 Stand Configurator'!E26</f>
        <v>20</v>
      </c>
      <c r="G210" s="41" t="str">
        <f>'2 Stand Configurator'!D26</f>
        <v>RPKE-000-035</v>
      </c>
      <c r="H210" s="52"/>
      <c r="I210" s="41">
        <f>'2 Stand Configurator'!E50</f>
        <v>44</v>
      </c>
      <c r="J210" s="41" t="str">
        <f>'2 Stand Configurator'!D50</f>
        <v>RPKE-000-040</v>
      </c>
      <c r="K210" s="52"/>
    </row>
    <row r="211" spans="1:11" x14ac:dyDescent="0.4">
      <c r="A211" s="3"/>
      <c r="B211" s="52"/>
      <c r="C211" s="5"/>
      <c r="D211" s="5"/>
      <c r="E211" s="52"/>
      <c r="F211" s="41">
        <f>'2 Stand Configurator'!E27</f>
        <v>21</v>
      </c>
      <c r="G211" s="41" t="str">
        <f>'2 Stand Configurator'!D27</f>
        <v>RPKE-000-039</v>
      </c>
      <c r="H211" s="52"/>
      <c r="I211" s="41">
        <f>'2 Stand Configurator'!E51</f>
        <v>45</v>
      </c>
      <c r="J211" s="41" t="str">
        <f>'2 Stand Configurator'!D51</f>
        <v>RPKE-000-042</v>
      </c>
      <c r="K211" s="52"/>
    </row>
    <row r="212" spans="1:11" x14ac:dyDescent="0.4">
      <c r="A212" s="3"/>
      <c r="B212" s="52"/>
      <c r="C212" s="5"/>
      <c r="D212" s="5"/>
      <c r="E212" s="52"/>
      <c r="F212" s="41">
        <f>'2 Stand Configurator'!E28</f>
        <v>22</v>
      </c>
      <c r="G212" s="41" t="str">
        <f>'2 Stand Configurator'!D28</f>
        <v>RPKE-000-039</v>
      </c>
      <c r="H212" s="52"/>
      <c r="I212" s="41">
        <f>'2 Stand Configurator'!E52</f>
        <v>46</v>
      </c>
      <c r="J212" s="41" t="str">
        <f>'2 Stand Configurator'!D52</f>
        <v>RPKE-000-043</v>
      </c>
      <c r="K212" s="52"/>
    </row>
    <row r="213" spans="1:11" x14ac:dyDescent="0.4">
      <c r="A213" s="3"/>
      <c r="B213" s="52"/>
      <c r="C213" s="5"/>
      <c r="D213" s="5"/>
      <c r="E213" s="52"/>
      <c r="F213" s="41">
        <f>'2 Stand Configurator'!E29</f>
        <v>23</v>
      </c>
      <c r="G213" s="41" t="str">
        <f>'2 Stand Configurator'!D29</f>
        <v>RPKE-000-037</v>
      </c>
      <c r="H213" s="52"/>
      <c r="I213" s="41">
        <f>'2 Stand Configurator'!E53</f>
        <v>47</v>
      </c>
      <c r="J213" s="41" t="str">
        <f>'2 Stand Configurator'!D53</f>
        <v>RPKE-000-044</v>
      </c>
      <c r="K213" s="52"/>
    </row>
    <row r="214" spans="1:11" x14ac:dyDescent="0.4">
      <c r="A214" s="3"/>
      <c r="B214" s="52"/>
      <c r="C214" s="5"/>
      <c r="D214" s="5"/>
      <c r="E214" s="52"/>
      <c r="F214" s="41">
        <f>'2 Stand Configurator'!E30</f>
        <v>24</v>
      </c>
      <c r="G214" s="41" t="str">
        <f>'2 Stand Configurator'!D30</f>
        <v>RPKE-000-037</v>
      </c>
      <c r="H214" s="52"/>
      <c r="I214" s="52"/>
      <c r="J214" s="52"/>
      <c r="K214" s="52"/>
    </row>
    <row r="215" spans="1:11" x14ac:dyDescent="0.4">
      <c r="A215" s="3"/>
      <c r="B215" s="52"/>
      <c r="C215" s="5"/>
      <c r="D215" s="5"/>
      <c r="E215" s="52"/>
      <c r="F215" s="52"/>
      <c r="G215" s="5"/>
      <c r="H215" s="52"/>
      <c r="I215" s="52"/>
      <c r="J215" s="52"/>
      <c r="K215" s="52"/>
    </row>
    <row r="216" spans="1:11" x14ac:dyDescent="0.4">
      <c r="A216" s="3"/>
      <c r="B216" s="52"/>
      <c r="C216" s="5"/>
      <c r="D216" s="5"/>
      <c r="E216" s="52"/>
      <c r="F216" s="52"/>
      <c r="G216" s="5"/>
      <c r="H216" s="52"/>
      <c r="I216" s="52"/>
      <c r="J216" s="52"/>
      <c r="K216" s="52"/>
    </row>
    <row r="217" spans="1:11" x14ac:dyDescent="0.4">
      <c r="C217" s="20"/>
    </row>
    <row r="218" spans="1:11" x14ac:dyDescent="0.4">
      <c r="C218" s="20"/>
    </row>
    <row r="219" spans="1:11" x14ac:dyDescent="0.4">
      <c r="C219" s="20"/>
    </row>
    <row r="220" spans="1:11" x14ac:dyDescent="0.4">
      <c r="C220" s="20"/>
    </row>
    <row r="221" spans="1:11" x14ac:dyDescent="0.4">
      <c r="C221" s="20"/>
    </row>
    <row r="222" spans="1:11" x14ac:dyDescent="0.4">
      <c r="C222" s="20"/>
    </row>
    <row r="223" spans="1:11" x14ac:dyDescent="0.4">
      <c r="C223" s="20"/>
    </row>
    <row r="224" spans="1:11" x14ac:dyDescent="0.4">
      <c r="C224" s="20"/>
    </row>
    <row r="225" spans="3:3" x14ac:dyDescent="0.4">
      <c r="C225" s="20"/>
    </row>
    <row r="226" spans="3:3" x14ac:dyDescent="0.4">
      <c r="C226" s="20"/>
    </row>
    <row r="227" spans="3:3" x14ac:dyDescent="0.4">
      <c r="C227" s="20"/>
    </row>
    <row r="228" spans="3:3" x14ac:dyDescent="0.4">
      <c r="C228" s="20"/>
    </row>
    <row r="229" spans="3:3" x14ac:dyDescent="0.4">
      <c r="C229" s="20"/>
    </row>
    <row r="230" spans="3:3" x14ac:dyDescent="0.4">
      <c r="C230" s="20"/>
    </row>
    <row r="231" spans="3:3" x14ac:dyDescent="0.4">
      <c r="C231" s="20"/>
    </row>
    <row r="232" spans="3:3" x14ac:dyDescent="0.4">
      <c r="C232" s="20"/>
    </row>
    <row r="233" spans="3:3" x14ac:dyDescent="0.4">
      <c r="C233" s="20"/>
    </row>
    <row r="234" spans="3:3" x14ac:dyDescent="0.4">
      <c r="C234" s="20"/>
    </row>
    <row r="235" spans="3:3" x14ac:dyDescent="0.4">
      <c r="C235" s="20"/>
    </row>
    <row r="236" spans="3:3" x14ac:dyDescent="0.4">
      <c r="C236" s="20"/>
    </row>
    <row r="237" spans="3:3" x14ac:dyDescent="0.4">
      <c r="C237" s="20"/>
    </row>
    <row r="238" spans="3:3" x14ac:dyDescent="0.4">
      <c r="C238" s="20"/>
    </row>
    <row r="239" spans="3:3" x14ac:dyDescent="0.4">
      <c r="C239" s="20"/>
    </row>
    <row r="240" spans="3:3" x14ac:dyDescent="0.4">
      <c r="C240" s="20"/>
    </row>
    <row r="241" spans="3:3" x14ac:dyDescent="0.4">
      <c r="C241" s="20"/>
    </row>
    <row r="242" spans="3:3" x14ac:dyDescent="0.4">
      <c r="C242" s="20"/>
    </row>
    <row r="243" spans="3:3" x14ac:dyDescent="0.4">
      <c r="C243" s="20"/>
    </row>
    <row r="244" spans="3:3" x14ac:dyDescent="0.4">
      <c r="C244" s="20"/>
    </row>
    <row r="245" spans="3:3" x14ac:dyDescent="0.4">
      <c r="C245" s="20"/>
    </row>
    <row r="246" spans="3:3" x14ac:dyDescent="0.4">
      <c r="C246" s="20"/>
    </row>
    <row r="247" spans="3:3" x14ac:dyDescent="0.4">
      <c r="C247" s="20"/>
    </row>
    <row r="248" spans="3:3" x14ac:dyDescent="0.4">
      <c r="C248" s="20"/>
    </row>
    <row r="249" spans="3:3" x14ac:dyDescent="0.4">
      <c r="C249" s="20"/>
    </row>
    <row r="250" spans="3:3" x14ac:dyDescent="0.4">
      <c r="C250" s="20"/>
    </row>
    <row r="251" spans="3:3" x14ac:dyDescent="0.4">
      <c r="C251" s="20"/>
    </row>
    <row r="252" spans="3:3" x14ac:dyDescent="0.4">
      <c r="C252" s="20"/>
    </row>
    <row r="253" spans="3:3" x14ac:dyDescent="0.4">
      <c r="C253" s="20"/>
    </row>
    <row r="254" spans="3:3" x14ac:dyDescent="0.4">
      <c r="C254" s="20"/>
    </row>
    <row r="255" spans="3:3" x14ac:dyDescent="0.4">
      <c r="C255" s="20"/>
    </row>
    <row r="256" spans="3:3" x14ac:dyDescent="0.4">
      <c r="C256" s="20"/>
    </row>
    <row r="257" spans="3:3" x14ac:dyDescent="0.4">
      <c r="C257" s="20"/>
    </row>
    <row r="258" spans="3:3" x14ac:dyDescent="0.4">
      <c r="C258" s="20"/>
    </row>
    <row r="259" spans="3:3" x14ac:dyDescent="0.4">
      <c r="C259" s="20"/>
    </row>
    <row r="260" spans="3:3" x14ac:dyDescent="0.4">
      <c r="C260" s="20"/>
    </row>
    <row r="261" spans="3:3" x14ac:dyDescent="0.4">
      <c r="C261" s="20"/>
    </row>
    <row r="262" spans="3:3" x14ac:dyDescent="0.4">
      <c r="C262" s="20"/>
    </row>
    <row r="263" spans="3:3" x14ac:dyDescent="0.4">
      <c r="C263" s="20"/>
    </row>
    <row r="264" spans="3:3" x14ac:dyDescent="0.4">
      <c r="C264" s="20"/>
    </row>
    <row r="265" spans="3:3" x14ac:dyDescent="0.4">
      <c r="C265" s="20"/>
    </row>
    <row r="266" spans="3:3" x14ac:dyDescent="0.4">
      <c r="C266" s="20"/>
    </row>
    <row r="267" spans="3:3" x14ac:dyDescent="0.4">
      <c r="C267" s="20"/>
    </row>
    <row r="268" spans="3:3" x14ac:dyDescent="0.4">
      <c r="C268" s="20"/>
    </row>
    <row r="269" spans="3:3" x14ac:dyDescent="0.4">
      <c r="C269" s="20"/>
    </row>
    <row r="270" spans="3:3" x14ac:dyDescent="0.4">
      <c r="C270" s="20"/>
    </row>
    <row r="271" spans="3:3" x14ac:dyDescent="0.4">
      <c r="C271" s="20"/>
    </row>
    <row r="272" spans="3:3" x14ac:dyDescent="0.4">
      <c r="C272" s="20"/>
    </row>
    <row r="273" spans="3:3" x14ac:dyDescent="0.4">
      <c r="C273" s="20"/>
    </row>
    <row r="274" spans="3:3" x14ac:dyDescent="0.4">
      <c r="C274" s="20"/>
    </row>
    <row r="275" spans="3:3" x14ac:dyDescent="0.4">
      <c r="C275" s="20"/>
    </row>
    <row r="276" spans="3:3" x14ac:dyDescent="0.4">
      <c r="C276" s="20"/>
    </row>
    <row r="277" spans="3:3" x14ac:dyDescent="0.4">
      <c r="C277" s="20"/>
    </row>
    <row r="278" spans="3:3" x14ac:dyDescent="0.4">
      <c r="C278" s="20"/>
    </row>
  </sheetData>
  <sheetProtection algorithmName="SHA-512" hashValue="db56b0byT5s9vZLARZKL6e4RtDVpHTLW50uyD+0GXsG9E6qOKgDv/HjtvclZB0ptuAaM4GknnbHU/L5qJBRbYA==" saltValue="TIBQ8YXx7dFwkHEh3o6SoQ==" spinCount="100000" sheet="1" selectLockedCells="1"/>
  <autoFilter ref="B5:D183" xr:uid="{00000000-0009-0000-0000-000003000000}">
    <filterColumn colId="1">
      <filters blank="1">
        <filter val="AAF000-001-100"/>
        <filter val="AEB010-0AY-800"/>
        <filter val="AEB030-0AY-000"/>
        <filter val="AEB030-0CY-000"/>
        <filter val="AEB040-0A1-A00"/>
        <filter val="AEE090-070-21X"/>
        <filter val="AFZ061-131-100"/>
        <filter val="AFZ101-131-100"/>
        <filter val="AGM020-623-000"/>
        <filter val="AJA242-560-800"/>
        <filter val="AJB170-000-100"/>
        <filter val="AJF030-000-100"/>
        <filter val="AJS260-000-100"/>
        <filter val="ASA480-0A7-600"/>
        <filter val="ASA480-0AR-600"/>
        <filter val="ASA480-0B7-600"/>
        <filter val="ASA790-161-200"/>
        <filter val="ASA790-161-300"/>
        <filter val="ASA790-162-900"/>
        <filter val="ASA790-166-400"/>
        <filter val="ASA920-161-200"/>
        <filter val="ASA920-161-300"/>
        <filter val="ASA920-163-000"/>
        <filter val="ASA940-061-300"/>
        <filter val="BER122-201-L1X"/>
        <filter val="BER130-001-L1X"/>
        <filter val="BGA172-202-N00"/>
        <filter val="BGA182-206-N00"/>
        <filter val="BGA802-206-N00"/>
        <filter val="BHT003-0L5-000"/>
        <filter val="BHT0A3-0L5-N00"/>
        <filter val="BMN740-000-600"/>
        <filter val="BMN750-000-600"/>
        <filter val="BMN990-001-700"/>
        <filter val="BPB003-004-000"/>
        <filter val="RNAZ-000-500"/>
        <filter val="RNAZ-000-501"/>
        <filter val="RNAZ-000-502"/>
        <filter val="RNAZ-000-503"/>
        <filter val="RNAZ-000-504"/>
        <filter val="RNAZ-000-505"/>
        <filter val="RNAZ-000-506"/>
        <filter val="RNAZ-000-507"/>
        <filter val="RNAZ-000-508"/>
        <filter val="RPKE-000-001"/>
        <filter val="RPKE-000-002"/>
        <filter val="RPKE-000-003"/>
        <filter val="RPKE-000-004"/>
        <filter val="RPKE-000-005"/>
        <filter val="RPKE-000-006"/>
        <filter val="RPKE-000-007"/>
        <filter val="RPKE-000-008"/>
        <filter val="RPKE-000-009"/>
        <filter val="RPKE-000-010"/>
        <filter val="RPKE-000-011"/>
        <filter val="RPKE-000-012"/>
        <filter val="RPKE-000-013"/>
        <filter val="RPKE-000-014"/>
        <filter val="RPKE-000-015"/>
        <filter val="RPKE-000-016"/>
        <filter val="RPKE-000-017"/>
        <filter val="RPKE-000-018"/>
        <filter val="RPKE-000-019"/>
        <filter val="RPKE-000-020"/>
        <filter val="RPKE-000-021"/>
        <filter val="RPKE-000-022"/>
        <filter val="RPKE-000-023"/>
        <filter val="RPKE-000-024"/>
        <filter val="RPKE-000-025"/>
        <filter val="RPKE-000-026"/>
        <filter val="RPKE-000-027"/>
        <filter val="RPKE-000-028"/>
        <filter val="RPKE-000-029"/>
        <filter val="RPKE-000-030"/>
        <filter val="RPKE-000-031"/>
        <filter val="RPKE-000-032"/>
        <filter val="RPKE-000-033"/>
        <filter val="RPKE-000-034"/>
        <filter val="RPKE-000-035"/>
        <filter val="RPKE-000-036"/>
        <filter val="RPKE-000-037"/>
        <filter val="RPKE-000-038"/>
        <filter val="RPKE-000-039"/>
        <filter val="RPKE-000-040"/>
        <filter val="RPKE-000-041"/>
        <filter val="RPKE-000-042"/>
        <filter val="RPKE-000-043"/>
        <filter val="RPKE-000-044"/>
        <filter val="RPKE-000-045"/>
        <filter val="RPKE-000-046"/>
        <filter val="RPKE-000-047"/>
        <filter val="RPKE-000-048"/>
        <filter val="RPKE-000-049"/>
        <filter val="RPKE-000-050"/>
        <filter val="RPKE-000-051"/>
        <filter val="RPKE-000-XX1"/>
        <filter val="RPKE-000-XX2"/>
        <filter val="RPKE-000-XX3"/>
        <filter val="RPKE-000-XX4"/>
        <filter val="SKU"/>
        <filter val="VVP200-000-000"/>
      </filters>
    </filterColumn>
    <filterColumn colId="2">
      <filters blank="1">
        <filter val="2"/>
        <filter val="20"/>
        <filter val="4"/>
        <filter val="40"/>
        <filter val="6"/>
        <filter val="60"/>
        <filter val="80"/>
        <filter val="Qty"/>
      </filters>
    </filterColumn>
  </autoFilter>
  <mergeCells count="6">
    <mergeCell ref="F187:J187"/>
    <mergeCell ref="B2:D2"/>
    <mergeCell ref="F2:J2"/>
    <mergeCell ref="B3:D3"/>
    <mergeCell ref="F3:J3"/>
    <mergeCell ref="F186:J186"/>
  </mergeCells>
  <conditionalFormatting sqref="B184:D1048478">
    <cfRule type="expression" dxfId="13" priority="11">
      <formula>IF($B$15:$D299, "0")</formula>
    </cfRule>
  </conditionalFormatting>
  <conditionalFormatting sqref="B126:C183">
    <cfRule type="expression" dxfId="12" priority="124">
      <formula>IF($B$15:$D249, "0")</formula>
    </cfRule>
  </conditionalFormatting>
  <conditionalFormatting sqref="B5 B1:D4">
    <cfRule type="expression" dxfId="11" priority="142">
      <formula>IF($B$15:$D133, "0")</formula>
    </cfRule>
  </conditionalFormatting>
  <conditionalFormatting sqref="B6:D6">
    <cfRule type="expression" dxfId="10" priority="143">
      <formula>IF($B$15:$D137, "0")</formula>
    </cfRule>
  </conditionalFormatting>
  <conditionalFormatting sqref="B1048561:D1048576">
    <cfRule type="expression" dxfId="9" priority="204">
      <formula>IF($B$1:$D89, "0")</formula>
    </cfRule>
  </conditionalFormatting>
  <conditionalFormatting sqref="B125:D125">
    <cfRule type="expression" dxfId="8" priority="217">
      <formula>IF($B$15:$D186, "0")</formula>
    </cfRule>
  </conditionalFormatting>
  <conditionalFormatting sqref="B124:D124">
    <cfRule type="expression" dxfId="7" priority="221">
      <formula>IF($B$15:$D179, "0")</formula>
    </cfRule>
  </conditionalFormatting>
  <conditionalFormatting sqref="B1048479:D1048560">
    <cfRule type="expression" dxfId="6" priority="236">
      <formula>IF($B$1:$D15, "0")</formula>
    </cfRule>
  </conditionalFormatting>
  <conditionalFormatting sqref="D5">
    <cfRule type="expression" dxfId="5" priority="4">
      <formula>IF($B$7:$D126, "0")</formula>
    </cfRule>
  </conditionalFormatting>
  <conditionalFormatting sqref="B64:D122">
    <cfRule type="expression" dxfId="4" priority="241">
      <formula>IF($B$15:$D186, "0")</formula>
    </cfRule>
  </conditionalFormatting>
  <conditionalFormatting sqref="B13:D63">
    <cfRule type="expression" dxfId="3" priority="243">
      <formula>IF($B$15:$D137, "0")</formula>
    </cfRule>
  </conditionalFormatting>
  <conditionalFormatting sqref="C5">
    <cfRule type="expression" dxfId="2" priority="245">
      <formula>IF($B$15:$D123, "0")</formula>
    </cfRule>
  </conditionalFormatting>
  <conditionalFormatting sqref="B7:D12">
    <cfRule type="expression" dxfId="1" priority="246">
      <formula>IF($B$15:$D244, "0")</formula>
    </cfRule>
  </conditionalFormatting>
  <conditionalFormatting sqref="D126:D183">
    <cfRule type="expression" dxfId="0" priority="1">
      <formula>IF($B$15:$D248, "0")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2:V67"/>
  <sheetViews>
    <sheetView zoomScaleNormal="100" workbookViewId="0">
      <pane xSplit="2" ySplit="3" topLeftCell="C4" activePane="bottomRight" state="frozen"/>
      <selection activeCell="Z34" sqref="Z34"/>
      <selection pane="topRight" activeCell="Z34" sqref="Z34"/>
      <selection pane="bottomLeft" activeCell="Z34" sqref="Z34"/>
      <selection pane="bottomRight" activeCell="R17" sqref="R17"/>
    </sheetView>
  </sheetViews>
  <sheetFormatPr defaultColWidth="9.15234375" defaultRowHeight="14.6" x14ac:dyDescent="0.4"/>
  <cols>
    <col min="1" max="1" width="4" style="53" customWidth="1"/>
    <col min="2" max="2" width="37.53515625" style="53" bestFit="1" customWidth="1"/>
    <col min="3" max="3" width="18.3046875" style="53" customWidth="1"/>
    <col min="4" max="4" width="15.69140625" style="53" customWidth="1"/>
    <col min="5" max="6" width="15.69140625" style="195" customWidth="1"/>
    <col min="7" max="8" width="7.69140625" style="53" customWidth="1"/>
    <col min="9" max="9" width="4.3828125" style="53" customWidth="1"/>
    <col min="10" max="10" width="10.69140625" style="53" customWidth="1"/>
    <col min="11" max="11" width="8.69140625" style="196" customWidth="1"/>
    <col min="12" max="12" width="9.15234375" style="197"/>
    <col min="13" max="13" width="9.15234375" style="198"/>
    <col min="14" max="14" width="4.3828125" style="53" customWidth="1"/>
    <col min="15" max="15" width="10.69140625" style="53" customWidth="1"/>
    <col min="16" max="16384" width="9.15234375" style="53"/>
  </cols>
  <sheetData>
    <row r="2" spans="1:22" x14ac:dyDescent="0.4">
      <c r="A2" s="52"/>
      <c r="B2" s="52"/>
      <c r="C2" s="52"/>
      <c r="D2" s="52"/>
      <c r="E2" s="5"/>
      <c r="F2" s="5"/>
      <c r="G2" s="52"/>
      <c r="H2" s="52"/>
      <c r="I2" s="52"/>
      <c r="J2" s="52"/>
      <c r="K2" s="199"/>
      <c r="L2" s="200"/>
      <c r="M2" s="201"/>
      <c r="O2" s="52"/>
      <c r="P2" s="52"/>
      <c r="Q2" s="52"/>
      <c r="R2" s="52"/>
      <c r="T2" s="52"/>
      <c r="U2" s="52"/>
      <c r="V2" s="52"/>
    </row>
    <row r="3" spans="1:22" ht="43.75" x14ac:dyDescent="0.4">
      <c r="A3" s="52"/>
      <c r="B3" s="12" t="s">
        <v>0</v>
      </c>
      <c r="C3" s="9" t="s">
        <v>53</v>
      </c>
      <c r="D3" s="18" t="s">
        <v>160</v>
      </c>
      <c r="E3" s="18" t="s">
        <v>62</v>
      </c>
      <c r="F3" s="18" t="s">
        <v>185</v>
      </c>
      <c r="G3" s="1" t="s">
        <v>1</v>
      </c>
      <c r="H3" s="1" t="s">
        <v>2</v>
      </c>
      <c r="I3" s="52"/>
      <c r="J3" s="32" t="s">
        <v>196</v>
      </c>
      <c r="K3" s="35" t="s">
        <v>192</v>
      </c>
      <c r="L3" s="50" t="s">
        <v>193</v>
      </c>
      <c r="M3" s="34" t="s">
        <v>194</v>
      </c>
      <c r="N3" s="52"/>
      <c r="O3" s="1" t="s">
        <v>197</v>
      </c>
      <c r="P3" s="52"/>
      <c r="Q3" s="52"/>
      <c r="R3" s="52"/>
      <c r="S3" s="52"/>
      <c r="T3" s="52"/>
      <c r="U3" s="52"/>
      <c r="V3" s="52"/>
    </row>
    <row r="4" spans="1:22" x14ac:dyDescent="0.4">
      <c r="A4" s="52"/>
      <c r="B4" s="202"/>
      <c r="C4" s="52"/>
      <c r="D4" s="52"/>
      <c r="E4" s="5"/>
      <c r="F4" s="5"/>
      <c r="G4" s="52"/>
      <c r="H4" s="52"/>
      <c r="I4" s="52"/>
      <c r="J4" s="52"/>
      <c r="K4" s="199"/>
      <c r="L4" s="200"/>
      <c r="M4" s="203"/>
      <c r="N4" s="52"/>
      <c r="O4" s="52"/>
      <c r="P4" s="52"/>
      <c r="Q4" s="52"/>
      <c r="R4" s="52"/>
      <c r="S4" s="52"/>
      <c r="T4" s="52"/>
      <c r="U4" s="52"/>
      <c r="V4" s="52"/>
    </row>
    <row r="5" spans="1:22" ht="15" customHeight="1" x14ac:dyDescent="0.4">
      <c r="A5" s="52"/>
      <c r="B5" s="86" t="s">
        <v>81</v>
      </c>
      <c r="C5" s="191" t="s">
        <v>56</v>
      </c>
      <c r="D5" s="204" t="s">
        <v>213</v>
      </c>
      <c r="E5" s="191" t="s">
        <v>90</v>
      </c>
      <c r="F5" s="191" t="s">
        <v>178</v>
      </c>
      <c r="G5" s="125">
        <v>5</v>
      </c>
      <c r="H5" s="125">
        <v>10</v>
      </c>
      <c r="I5" s="205"/>
      <c r="J5" s="206"/>
      <c r="K5" s="207">
        <v>23.39</v>
      </c>
      <c r="L5" s="36">
        <v>27.63</v>
      </c>
      <c r="M5" s="208">
        <v>36.49</v>
      </c>
      <c r="N5" s="52"/>
      <c r="O5" s="10">
        <v>0</v>
      </c>
      <c r="P5" s="52"/>
      <c r="Q5" s="52"/>
      <c r="R5" s="52"/>
      <c r="S5" s="52"/>
      <c r="T5" s="52"/>
      <c r="U5" s="52"/>
      <c r="V5" s="52"/>
    </row>
    <row r="6" spans="1:22" ht="15" customHeight="1" x14ac:dyDescent="0.4">
      <c r="A6" s="52"/>
      <c r="B6" s="86" t="s">
        <v>82</v>
      </c>
      <c r="C6" s="191" t="s">
        <v>18</v>
      </c>
      <c r="D6" s="204" t="s">
        <v>214</v>
      </c>
      <c r="E6" s="191" t="s">
        <v>91</v>
      </c>
      <c r="F6" s="191" t="s">
        <v>176</v>
      </c>
      <c r="G6" s="125">
        <v>5</v>
      </c>
      <c r="H6" s="125">
        <v>10</v>
      </c>
      <c r="I6" s="205"/>
      <c r="J6" s="52"/>
      <c r="K6" s="207">
        <v>23.39</v>
      </c>
      <c r="L6" s="36">
        <v>27.63</v>
      </c>
      <c r="M6" s="208">
        <v>36.49</v>
      </c>
      <c r="N6" s="52"/>
      <c r="O6" s="209">
        <v>0.05</v>
      </c>
      <c r="P6" s="52"/>
      <c r="Q6" s="52"/>
      <c r="R6" s="52"/>
      <c r="S6" s="52"/>
      <c r="T6" s="52"/>
      <c r="U6" s="52"/>
      <c r="V6" s="52"/>
    </row>
    <row r="7" spans="1:22" ht="15" customHeight="1" x14ac:dyDescent="0.4">
      <c r="A7" s="52"/>
      <c r="B7" s="87" t="s">
        <v>83</v>
      </c>
      <c r="C7" s="191" t="s">
        <v>57</v>
      </c>
      <c r="D7" s="204" t="s">
        <v>255</v>
      </c>
      <c r="E7" s="191" t="s">
        <v>92</v>
      </c>
      <c r="F7" s="191" t="s">
        <v>177</v>
      </c>
      <c r="G7" s="125">
        <v>5</v>
      </c>
      <c r="H7" s="125">
        <v>10</v>
      </c>
      <c r="I7" s="205"/>
      <c r="J7" s="52"/>
      <c r="K7" s="207">
        <v>8.18</v>
      </c>
      <c r="L7" s="36">
        <v>8.43</v>
      </c>
      <c r="M7" s="208">
        <v>10.7</v>
      </c>
      <c r="N7" s="52"/>
      <c r="O7" s="209">
        <v>0.1</v>
      </c>
      <c r="P7" s="52"/>
      <c r="Q7" s="52"/>
      <c r="R7" s="52"/>
      <c r="S7" s="52"/>
      <c r="T7" s="52"/>
      <c r="U7" s="52"/>
      <c r="V7" s="52"/>
    </row>
    <row r="8" spans="1:22" ht="15" customHeight="1" x14ac:dyDescent="0.4">
      <c r="A8" s="52"/>
      <c r="B8" s="87" t="s">
        <v>84</v>
      </c>
      <c r="C8" s="191" t="s">
        <v>19</v>
      </c>
      <c r="D8" s="204" t="s">
        <v>215</v>
      </c>
      <c r="E8" s="191" t="s">
        <v>93</v>
      </c>
      <c r="F8" s="191" t="s">
        <v>175</v>
      </c>
      <c r="G8" s="125">
        <v>5</v>
      </c>
      <c r="H8" s="125">
        <v>10</v>
      </c>
      <c r="I8" s="205"/>
      <c r="J8" s="52"/>
      <c r="K8" s="207">
        <v>8.18</v>
      </c>
      <c r="L8" s="36">
        <v>8.43</v>
      </c>
      <c r="M8" s="208">
        <v>10.7</v>
      </c>
      <c r="N8" s="52"/>
      <c r="O8" s="209">
        <v>0.15</v>
      </c>
      <c r="P8" s="52"/>
      <c r="Q8" s="52"/>
      <c r="R8" s="52"/>
      <c r="S8" s="52"/>
      <c r="T8" s="52"/>
      <c r="U8" s="52"/>
      <c r="V8" s="52"/>
    </row>
    <row r="9" spans="1:22" ht="15" customHeight="1" x14ac:dyDescent="0.4">
      <c r="A9" s="52"/>
      <c r="B9" s="87" t="s">
        <v>258</v>
      </c>
      <c r="C9" s="191" t="s">
        <v>259</v>
      </c>
      <c r="D9" s="204" t="s">
        <v>261</v>
      </c>
      <c r="E9" s="191" t="s">
        <v>93</v>
      </c>
      <c r="F9" s="191" t="s">
        <v>175</v>
      </c>
      <c r="G9" s="125">
        <v>5</v>
      </c>
      <c r="H9" s="125">
        <v>10</v>
      </c>
      <c r="I9" s="205"/>
      <c r="J9" s="52"/>
      <c r="K9" s="207">
        <v>8.18</v>
      </c>
      <c r="L9" s="36">
        <v>8.43</v>
      </c>
      <c r="M9" s="208">
        <v>10.7</v>
      </c>
      <c r="N9" s="52"/>
      <c r="O9" s="209">
        <v>0.2</v>
      </c>
      <c r="P9" s="52"/>
      <c r="Q9" s="52"/>
      <c r="R9" s="52"/>
      <c r="S9" s="52"/>
      <c r="T9" s="52"/>
      <c r="U9" s="52"/>
      <c r="V9" s="52"/>
    </row>
    <row r="10" spans="1:22" ht="15" customHeight="1" x14ac:dyDescent="0.4">
      <c r="A10" s="52"/>
      <c r="B10" s="87" t="s">
        <v>3</v>
      </c>
      <c r="C10" s="191" t="s">
        <v>20</v>
      </c>
      <c r="D10" s="204" t="s">
        <v>256</v>
      </c>
      <c r="E10" s="191" t="s">
        <v>94</v>
      </c>
      <c r="F10" s="191" t="s">
        <v>174</v>
      </c>
      <c r="G10" s="125">
        <v>10</v>
      </c>
      <c r="H10" s="125">
        <v>20</v>
      </c>
      <c r="I10" s="205"/>
      <c r="J10" s="52"/>
      <c r="K10" s="207">
        <v>29.09</v>
      </c>
      <c r="L10" s="36">
        <v>35.19</v>
      </c>
      <c r="M10" s="208">
        <v>45.97</v>
      </c>
      <c r="N10" s="52"/>
      <c r="O10" s="209">
        <v>0.25</v>
      </c>
      <c r="P10" s="52"/>
      <c r="Q10" s="52"/>
      <c r="R10" s="52"/>
      <c r="S10" s="52"/>
      <c r="T10" s="52"/>
      <c r="U10" s="52"/>
      <c r="V10" s="52"/>
    </row>
    <row r="11" spans="1:22" ht="15" customHeight="1" x14ac:dyDescent="0.4">
      <c r="A11" s="52"/>
      <c r="B11" s="87" t="s">
        <v>4</v>
      </c>
      <c r="C11" s="191" t="s">
        <v>21</v>
      </c>
      <c r="D11" s="204" t="s">
        <v>216</v>
      </c>
      <c r="E11" s="191" t="s">
        <v>95</v>
      </c>
      <c r="F11" s="191" t="s">
        <v>174</v>
      </c>
      <c r="G11" s="125">
        <v>10</v>
      </c>
      <c r="H11" s="125">
        <v>20</v>
      </c>
      <c r="I11" s="205"/>
      <c r="J11" s="52"/>
      <c r="K11" s="207">
        <v>29.09</v>
      </c>
      <c r="L11" s="36">
        <v>35.19</v>
      </c>
      <c r="M11" s="208">
        <v>45.97</v>
      </c>
      <c r="N11" s="52"/>
      <c r="O11" s="209">
        <v>0.3</v>
      </c>
      <c r="P11" s="52"/>
      <c r="Q11" s="52"/>
      <c r="R11" s="52"/>
      <c r="S11" s="52"/>
      <c r="T11" s="52"/>
      <c r="U11" s="52"/>
      <c r="V11" s="52"/>
    </row>
    <row r="12" spans="1:22" ht="15" customHeight="1" x14ac:dyDescent="0.4">
      <c r="A12" s="52"/>
      <c r="B12" s="88" t="s">
        <v>60</v>
      </c>
      <c r="C12" s="191" t="s">
        <v>22</v>
      </c>
      <c r="D12" s="204" t="s">
        <v>254</v>
      </c>
      <c r="E12" s="191" t="s">
        <v>96</v>
      </c>
      <c r="F12" s="191"/>
      <c r="G12" s="125">
        <v>2</v>
      </c>
      <c r="H12" s="125">
        <v>1</v>
      </c>
      <c r="I12" s="205"/>
      <c r="J12" s="52"/>
      <c r="K12" s="207">
        <v>64.510000000000005</v>
      </c>
      <c r="L12" s="36">
        <v>75.89</v>
      </c>
      <c r="M12" s="208">
        <v>97.61</v>
      </c>
      <c r="N12" s="52"/>
      <c r="O12" s="209">
        <v>0.35</v>
      </c>
      <c r="P12" s="52"/>
      <c r="Q12" s="52"/>
      <c r="R12" s="52"/>
      <c r="S12" s="52"/>
      <c r="T12" s="52"/>
      <c r="U12" s="52"/>
      <c r="V12" s="52"/>
    </row>
    <row r="13" spans="1:22" ht="15" customHeight="1" x14ac:dyDescent="0.4">
      <c r="A13" s="52"/>
      <c r="B13" s="89" t="s">
        <v>135</v>
      </c>
      <c r="C13" s="125" t="s">
        <v>134</v>
      </c>
      <c r="D13" s="49" t="s">
        <v>217</v>
      </c>
      <c r="E13" s="191" t="s">
        <v>139</v>
      </c>
      <c r="F13" s="191"/>
      <c r="G13" s="125">
        <v>4</v>
      </c>
      <c r="H13" s="125">
        <v>10</v>
      </c>
      <c r="I13" s="205"/>
      <c r="J13" s="52"/>
      <c r="K13" s="207">
        <v>44.45</v>
      </c>
      <c r="L13" s="36">
        <v>50.68</v>
      </c>
      <c r="M13" s="208">
        <v>55.56</v>
      </c>
      <c r="N13" s="52"/>
      <c r="O13" s="209">
        <v>0.4</v>
      </c>
      <c r="P13" s="52"/>
      <c r="Q13" s="52"/>
      <c r="R13" s="52"/>
      <c r="S13" s="52"/>
      <c r="T13" s="52"/>
      <c r="U13" s="52"/>
      <c r="V13" s="52"/>
    </row>
    <row r="14" spans="1:22" ht="15" customHeight="1" x14ac:dyDescent="0.4">
      <c r="A14" s="52"/>
      <c r="B14" s="89" t="s">
        <v>153</v>
      </c>
      <c r="C14" s="125" t="s">
        <v>154</v>
      </c>
      <c r="D14" s="49" t="s">
        <v>218</v>
      </c>
      <c r="E14" s="191" t="s">
        <v>186</v>
      </c>
      <c r="F14" s="191"/>
      <c r="G14" s="125">
        <v>4</v>
      </c>
      <c r="H14" s="125">
        <v>10</v>
      </c>
      <c r="I14" s="205"/>
      <c r="J14" s="52"/>
      <c r="K14" s="207">
        <v>51.15</v>
      </c>
      <c r="L14" s="36">
        <v>58.29</v>
      </c>
      <c r="M14" s="208">
        <v>63.93</v>
      </c>
      <c r="N14" s="52"/>
      <c r="O14" s="209">
        <v>0.45</v>
      </c>
      <c r="P14" s="52"/>
      <c r="Q14" s="52"/>
      <c r="R14" s="52"/>
      <c r="S14" s="52"/>
      <c r="T14" s="52"/>
      <c r="U14" s="52"/>
      <c r="V14" s="52"/>
    </row>
    <row r="15" spans="1:22" ht="15" customHeight="1" x14ac:dyDescent="0.4">
      <c r="A15" s="52"/>
      <c r="B15" s="80" t="s">
        <v>147</v>
      </c>
      <c r="C15" s="191" t="s">
        <v>148</v>
      </c>
      <c r="D15" s="204" t="s">
        <v>234</v>
      </c>
      <c r="E15" s="191" t="s">
        <v>146</v>
      </c>
      <c r="F15" s="191"/>
      <c r="G15" s="125">
        <v>6</v>
      </c>
      <c r="H15" s="125">
        <v>20</v>
      </c>
      <c r="I15" s="205"/>
      <c r="J15" s="52"/>
      <c r="K15" s="207">
        <v>7.76</v>
      </c>
      <c r="L15" s="36">
        <v>8.94</v>
      </c>
      <c r="M15" s="208">
        <v>10.49</v>
      </c>
      <c r="N15" s="52"/>
      <c r="O15" s="209">
        <v>0.5</v>
      </c>
      <c r="P15" s="52"/>
      <c r="Q15" s="52"/>
      <c r="R15" s="52"/>
      <c r="S15" s="52"/>
      <c r="T15" s="52"/>
      <c r="U15" s="52"/>
      <c r="V15" s="52"/>
    </row>
    <row r="16" spans="1:22" ht="15" customHeight="1" x14ac:dyDescent="0.4">
      <c r="A16" s="52"/>
      <c r="B16" s="74" t="s">
        <v>67</v>
      </c>
      <c r="C16" s="191" t="s">
        <v>51</v>
      </c>
      <c r="D16" s="204" t="s">
        <v>257</v>
      </c>
      <c r="E16" s="191" t="s">
        <v>97</v>
      </c>
      <c r="F16" s="191"/>
      <c r="G16" s="125">
        <v>10</v>
      </c>
      <c r="H16" s="125">
        <v>10</v>
      </c>
      <c r="I16" s="205"/>
      <c r="J16" s="52"/>
      <c r="K16" s="207">
        <v>2.15</v>
      </c>
      <c r="L16" s="36">
        <v>2.67</v>
      </c>
      <c r="M16" s="208">
        <v>2.69</v>
      </c>
      <c r="N16" s="52"/>
      <c r="O16" s="209">
        <v>0.55000000000000004</v>
      </c>
      <c r="P16" s="52"/>
      <c r="Q16" s="52"/>
      <c r="R16" s="52"/>
      <c r="S16" s="52"/>
      <c r="T16" s="52"/>
      <c r="U16" s="52"/>
      <c r="V16" s="52"/>
    </row>
    <row r="17" spans="1:22" ht="15" customHeight="1" x14ac:dyDescent="0.4">
      <c r="A17" s="52"/>
      <c r="B17" s="74" t="s">
        <v>68</v>
      </c>
      <c r="C17" s="191" t="s">
        <v>52</v>
      </c>
      <c r="D17" s="204" t="s">
        <v>219</v>
      </c>
      <c r="E17" s="191" t="s">
        <v>98</v>
      </c>
      <c r="F17" s="191"/>
      <c r="G17" s="125">
        <v>10</v>
      </c>
      <c r="H17" s="125">
        <v>10</v>
      </c>
      <c r="I17" s="205"/>
      <c r="J17" s="52"/>
      <c r="K17" s="207">
        <v>4.67</v>
      </c>
      <c r="L17" s="36">
        <v>4.9000000000000004</v>
      </c>
      <c r="M17" s="208">
        <v>5.84</v>
      </c>
      <c r="N17" s="52"/>
      <c r="O17" s="209">
        <v>0.6</v>
      </c>
      <c r="P17" s="52"/>
      <c r="Q17" s="52"/>
      <c r="R17" s="52"/>
      <c r="S17" s="52"/>
      <c r="T17" s="52"/>
      <c r="U17" s="52"/>
      <c r="V17" s="52"/>
    </row>
    <row r="18" spans="1:22" ht="15" customHeight="1" x14ac:dyDescent="0.4">
      <c r="A18" s="52"/>
      <c r="B18" s="74" t="s">
        <v>69</v>
      </c>
      <c r="C18" s="191" t="s">
        <v>50</v>
      </c>
      <c r="D18" s="204" t="s">
        <v>220</v>
      </c>
      <c r="E18" s="191" t="s">
        <v>99</v>
      </c>
      <c r="F18" s="191"/>
      <c r="G18" s="125">
        <v>10</v>
      </c>
      <c r="H18" s="125">
        <v>10</v>
      </c>
      <c r="I18" s="205"/>
      <c r="J18" s="52"/>
      <c r="K18" s="207">
        <v>5.04</v>
      </c>
      <c r="L18" s="36">
        <v>6.26</v>
      </c>
      <c r="M18" s="208">
        <v>6.29</v>
      </c>
      <c r="N18" s="52"/>
      <c r="O18" s="209">
        <v>0.65</v>
      </c>
      <c r="P18" s="52"/>
      <c r="Q18" s="52"/>
      <c r="R18" s="52"/>
      <c r="S18" s="52"/>
      <c r="T18" s="52"/>
      <c r="U18" s="52"/>
      <c r="V18" s="52"/>
    </row>
    <row r="19" spans="1:22" ht="15" customHeight="1" x14ac:dyDescent="0.4">
      <c r="A19" s="52"/>
      <c r="B19" s="75" t="s">
        <v>266</v>
      </c>
      <c r="C19" s="191" t="s">
        <v>265</v>
      </c>
      <c r="D19" s="204" t="s">
        <v>271</v>
      </c>
      <c r="E19" s="191" t="s">
        <v>187</v>
      </c>
      <c r="F19" s="191"/>
      <c r="G19" s="125">
        <v>10</v>
      </c>
      <c r="H19" s="125">
        <v>30</v>
      </c>
      <c r="I19" s="205"/>
      <c r="J19" s="52"/>
      <c r="K19" s="207">
        <v>11.92</v>
      </c>
      <c r="L19" s="36">
        <v>22.28</v>
      </c>
      <c r="M19" s="208">
        <v>14.9</v>
      </c>
      <c r="N19" s="52"/>
      <c r="O19" s="209">
        <v>0.7</v>
      </c>
      <c r="P19" s="52"/>
      <c r="Q19" s="52"/>
      <c r="R19" s="52"/>
      <c r="S19" s="52"/>
      <c r="T19" s="52"/>
      <c r="U19" s="52"/>
      <c r="V19" s="52"/>
    </row>
    <row r="20" spans="1:22" ht="15" customHeight="1" x14ac:dyDescent="0.4">
      <c r="A20" s="52"/>
      <c r="B20" s="75" t="s">
        <v>267</v>
      </c>
      <c r="C20" s="191" t="s">
        <v>264</v>
      </c>
      <c r="D20" s="204" t="s">
        <v>270</v>
      </c>
      <c r="E20" s="191" t="s">
        <v>188</v>
      </c>
      <c r="F20" s="191"/>
      <c r="G20" s="125">
        <v>10</v>
      </c>
      <c r="H20" s="125">
        <v>20</v>
      </c>
      <c r="I20" s="205"/>
      <c r="J20" s="52"/>
      <c r="K20" s="207">
        <v>12.14</v>
      </c>
      <c r="L20" s="36">
        <v>22.69</v>
      </c>
      <c r="M20" s="208">
        <v>15.18</v>
      </c>
      <c r="N20" s="52"/>
      <c r="O20" s="209">
        <v>0.75</v>
      </c>
      <c r="P20" s="52"/>
      <c r="Q20" s="52"/>
      <c r="R20" s="52"/>
      <c r="S20" s="52"/>
      <c r="T20" s="52"/>
      <c r="U20" s="52"/>
      <c r="V20" s="52"/>
    </row>
    <row r="21" spans="1:22" ht="15" customHeight="1" x14ac:dyDescent="0.4">
      <c r="A21" s="52"/>
      <c r="B21" s="75" t="s">
        <v>268</v>
      </c>
      <c r="C21" s="191" t="s">
        <v>263</v>
      </c>
      <c r="D21" s="204" t="s">
        <v>269</v>
      </c>
      <c r="E21" s="191" t="s">
        <v>189</v>
      </c>
      <c r="F21" s="191"/>
      <c r="G21" s="125">
        <v>10</v>
      </c>
      <c r="H21" s="125">
        <v>20</v>
      </c>
      <c r="I21" s="205"/>
      <c r="J21" s="52"/>
      <c r="K21" s="207">
        <v>22.26</v>
      </c>
      <c r="L21" s="36">
        <v>41.59</v>
      </c>
      <c r="M21" s="208">
        <v>27.83</v>
      </c>
      <c r="N21" s="52"/>
      <c r="O21" s="209">
        <v>0.8</v>
      </c>
      <c r="P21" s="52"/>
      <c r="Q21" s="52"/>
      <c r="R21" s="52"/>
      <c r="S21" s="52"/>
      <c r="T21" s="52"/>
      <c r="U21" s="52"/>
      <c r="V21" s="52"/>
    </row>
    <row r="22" spans="1:22" ht="15" customHeight="1" x14ac:dyDescent="0.4">
      <c r="A22" s="52"/>
      <c r="B22" s="75" t="s">
        <v>70</v>
      </c>
      <c r="C22" s="191" t="s">
        <v>58</v>
      </c>
      <c r="D22" s="204" t="s">
        <v>221</v>
      </c>
      <c r="E22" s="191" t="s">
        <v>100</v>
      </c>
      <c r="F22" s="191"/>
      <c r="G22" s="125">
        <v>5</v>
      </c>
      <c r="H22" s="125">
        <v>30</v>
      </c>
      <c r="I22" s="205"/>
      <c r="J22" s="52"/>
      <c r="K22" s="207">
        <v>3.44</v>
      </c>
      <c r="L22" s="36">
        <v>3.96</v>
      </c>
      <c r="M22" s="208">
        <v>4.3099999999999996</v>
      </c>
      <c r="N22" s="52"/>
      <c r="O22" s="209">
        <v>0.85</v>
      </c>
      <c r="P22" s="52"/>
      <c r="Q22" s="52"/>
      <c r="R22" s="52"/>
      <c r="S22" s="52"/>
      <c r="T22" s="52"/>
      <c r="U22" s="52"/>
      <c r="V22" s="52"/>
    </row>
    <row r="23" spans="1:22" ht="15" customHeight="1" x14ac:dyDescent="0.4">
      <c r="A23" s="52"/>
      <c r="B23" s="75" t="s">
        <v>71</v>
      </c>
      <c r="C23" s="191" t="s">
        <v>59</v>
      </c>
      <c r="D23" s="204" t="s">
        <v>222</v>
      </c>
      <c r="E23" s="191" t="s">
        <v>101</v>
      </c>
      <c r="F23" s="191"/>
      <c r="G23" s="125">
        <v>5</v>
      </c>
      <c r="H23" s="125">
        <v>30</v>
      </c>
      <c r="I23" s="205"/>
      <c r="J23" s="52"/>
      <c r="K23" s="207">
        <v>7.14</v>
      </c>
      <c r="L23" s="36">
        <v>8.24</v>
      </c>
      <c r="M23" s="208">
        <v>8.93</v>
      </c>
      <c r="N23" s="52"/>
      <c r="O23" s="209">
        <v>0.9</v>
      </c>
      <c r="P23" s="52"/>
      <c r="Q23" s="52"/>
      <c r="R23" s="52"/>
      <c r="S23" s="52"/>
      <c r="T23" s="52"/>
      <c r="U23" s="52"/>
      <c r="V23" s="52"/>
    </row>
    <row r="24" spans="1:22" ht="15" customHeight="1" x14ac:dyDescent="0.4">
      <c r="A24" s="52"/>
      <c r="B24" s="76" t="s">
        <v>131</v>
      </c>
      <c r="C24" s="191" t="s">
        <v>23</v>
      </c>
      <c r="D24" s="204" t="s">
        <v>223</v>
      </c>
      <c r="E24" s="191" t="s">
        <v>102</v>
      </c>
      <c r="F24" s="191"/>
      <c r="G24" s="125">
        <v>3</v>
      </c>
      <c r="H24" s="125">
        <v>10</v>
      </c>
      <c r="I24" s="205"/>
      <c r="J24" s="52"/>
      <c r="K24" s="207">
        <v>14.76</v>
      </c>
      <c r="L24" s="36">
        <v>17.12</v>
      </c>
      <c r="M24" s="208">
        <v>21.74</v>
      </c>
      <c r="N24" s="52"/>
      <c r="O24" s="209">
        <v>0.95</v>
      </c>
      <c r="P24" s="52"/>
      <c r="Q24" s="52"/>
      <c r="R24" s="52"/>
      <c r="S24" s="52"/>
      <c r="T24" s="52"/>
      <c r="U24" s="52"/>
      <c r="V24" s="52"/>
    </row>
    <row r="25" spans="1:22" ht="15" customHeight="1" x14ac:dyDescent="0.4">
      <c r="A25" s="52"/>
      <c r="B25" s="76" t="s">
        <v>132</v>
      </c>
      <c r="C25" s="191" t="s">
        <v>85</v>
      </c>
      <c r="D25" s="204" t="s">
        <v>223</v>
      </c>
      <c r="E25" s="191" t="s">
        <v>103</v>
      </c>
      <c r="F25" s="191"/>
      <c r="G25" s="125">
        <v>3</v>
      </c>
      <c r="H25" s="125">
        <v>10</v>
      </c>
      <c r="I25" s="205"/>
      <c r="J25" s="52"/>
      <c r="K25" s="207">
        <v>14.76</v>
      </c>
      <c r="L25" s="36">
        <v>17.12</v>
      </c>
      <c r="M25" s="208">
        <v>21.74</v>
      </c>
      <c r="N25" s="52"/>
      <c r="O25" s="209">
        <v>1</v>
      </c>
      <c r="P25" s="52"/>
      <c r="Q25" s="52"/>
      <c r="R25" s="52"/>
      <c r="S25" s="52"/>
      <c r="T25" s="52"/>
      <c r="U25" s="52"/>
      <c r="V25" s="52"/>
    </row>
    <row r="26" spans="1:22" ht="15" customHeight="1" x14ac:dyDescent="0.4">
      <c r="A26" s="52"/>
      <c r="B26" s="77" t="s">
        <v>5</v>
      </c>
      <c r="C26" s="191" t="s">
        <v>24</v>
      </c>
      <c r="D26" s="204" t="s">
        <v>224</v>
      </c>
      <c r="E26" s="191" t="s">
        <v>104</v>
      </c>
      <c r="F26" s="191"/>
      <c r="G26" s="125">
        <v>3</v>
      </c>
      <c r="H26" s="125">
        <v>10</v>
      </c>
      <c r="I26" s="205"/>
      <c r="J26" s="52"/>
      <c r="K26" s="207">
        <v>24.92</v>
      </c>
      <c r="L26" s="36">
        <v>28.14</v>
      </c>
      <c r="M26" s="208">
        <v>36.72</v>
      </c>
      <c r="N26" s="52"/>
      <c r="O26" s="52"/>
      <c r="P26" s="52"/>
      <c r="Q26" s="52"/>
      <c r="R26" s="52"/>
      <c r="S26" s="52"/>
      <c r="T26" s="52"/>
      <c r="U26" s="52"/>
      <c r="V26" s="52"/>
    </row>
    <row r="27" spans="1:22" ht="15" customHeight="1" x14ac:dyDescent="0.4">
      <c r="A27" s="52"/>
      <c r="B27" s="77" t="s">
        <v>74</v>
      </c>
      <c r="C27" s="191" t="s">
        <v>25</v>
      </c>
      <c r="D27" s="204" t="s">
        <v>225</v>
      </c>
      <c r="E27" s="191" t="s">
        <v>105</v>
      </c>
      <c r="F27" s="191"/>
      <c r="G27" s="125">
        <v>7</v>
      </c>
      <c r="H27" s="125">
        <v>10</v>
      </c>
      <c r="I27" s="205"/>
      <c r="J27" s="52"/>
      <c r="K27" s="207">
        <v>10.73</v>
      </c>
      <c r="L27" s="36">
        <v>12.13</v>
      </c>
      <c r="M27" s="208">
        <v>15.84</v>
      </c>
      <c r="N27" s="52"/>
      <c r="O27" s="52"/>
      <c r="P27" s="52"/>
      <c r="Q27" s="52"/>
      <c r="R27" s="52"/>
      <c r="S27" s="52"/>
      <c r="T27" s="52"/>
      <c r="U27" s="52"/>
      <c r="V27" s="52"/>
    </row>
    <row r="28" spans="1:22" ht="15" customHeight="1" x14ac:dyDescent="0.4">
      <c r="A28" s="52"/>
      <c r="B28" s="77" t="s">
        <v>73</v>
      </c>
      <c r="C28" s="191" t="s">
        <v>26</v>
      </c>
      <c r="D28" s="204" t="s">
        <v>226</v>
      </c>
      <c r="E28" s="191" t="s">
        <v>106</v>
      </c>
      <c r="F28" s="191"/>
      <c r="G28" s="125">
        <v>5</v>
      </c>
      <c r="H28" s="125">
        <v>10</v>
      </c>
      <c r="I28" s="205"/>
      <c r="J28" s="52"/>
      <c r="K28" s="207">
        <v>22.53</v>
      </c>
      <c r="L28" s="36">
        <v>22.53</v>
      </c>
      <c r="M28" s="208">
        <v>41.17</v>
      </c>
      <c r="N28" s="52"/>
      <c r="O28" s="52"/>
      <c r="P28" s="52"/>
      <c r="Q28" s="52"/>
      <c r="R28" s="52"/>
      <c r="S28" s="52"/>
      <c r="T28" s="52"/>
      <c r="U28" s="52"/>
      <c r="V28" s="52"/>
    </row>
    <row r="29" spans="1:22" ht="15" customHeight="1" x14ac:dyDescent="0.4">
      <c r="A29" s="52"/>
      <c r="B29" s="78" t="s">
        <v>72</v>
      </c>
      <c r="C29" s="191" t="s">
        <v>27</v>
      </c>
      <c r="D29" s="204" t="s">
        <v>227</v>
      </c>
      <c r="E29" s="191" t="s">
        <v>107</v>
      </c>
      <c r="F29" s="191"/>
      <c r="G29" s="125">
        <v>5</v>
      </c>
      <c r="H29" s="125">
        <v>10</v>
      </c>
      <c r="I29" s="205"/>
      <c r="J29" s="52"/>
      <c r="K29" s="207">
        <v>26.78</v>
      </c>
      <c r="L29" s="36">
        <v>26.78</v>
      </c>
      <c r="M29" s="208">
        <v>48.6</v>
      </c>
      <c r="N29" s="52"/>
      <c r="O29" s="52"/>
      <c r="P29" s="52"/>
      <c r="Q29" s="52"/>
      <c r="R29" s="52"/>
      <c r="S29" s="52"/>
      <c r="T29" s="52"/>
      <c r="U29" s="52"/>
      <c r="V29" s="52"/>
    </row>
    <row r="30" spans="1:22" ht="15" customHeight="1" x14ac:dyDescent="0.4">
      <c r="A30" s="52"/>
      <c r="B30" s="79" t="s">
        <v>63</v>
      </c>
      <c r="C30" s="191" t="s">
        <v>29</v>
      </c>
      <c r="D30" s="204" t="s">
        <v>211</v>
      </c>
      <c r="E30" s="191" t="s">
        <v>108</v>
      </c>
      <c r="F30" s="191"/>
      <c r="G30" s="125">
        <v>6</v>
      </c>
      <c r="H30" s="125">
        <v>10</v>
      </c>
      <c r="I30" s="205"/>
      <c r="J30" s="52"/>
      <c r="K30" s="207">
        <v>5.05</v>
      </c>
      <c r="L30" s="36">
        <v>5.62</v>
      </c>
      <c r="M30" s="208">
        <v>7.14</v>
      </c>
      <c r="N30" s="52"/>
      <c r="O30" s="52"/>
      <c r="P30" s="52"/>
      <c r="Q30" s="52"/>
      <c r="R30" s="52"/>
      <c r="S30" s="52"/>
      <c r="T30" s="52"/>
      <c r="U30" s="52"/>
      <c r="V30" s="52"/>
    </row>
    <row r="31" spans="1:22" ht="15" customHeight="1" x14ac:dyDescent="0.4">
      <c r="A31" s="52"/>
      <c r="B31" s="79" t="s">
        <v>64</v>
      </c>
      <c r="C31" s="191" t="s">
        <v>30</v>
      </c>
      <c r="D31" s="204" t="s">
        <v>212</v>
      </c>
      <c r="E31" s="191" t="s">
        <v>109</v>
      </c>
      <c r="F31" s="191"/>
      <c r="G31" s="125">
        <v>6</v>
      </c>
      <c r="H31" s="125">
        <v>10</v>
      </c>
      <c r="I31" s="205"/>
      <c r="J31" s="52"/>
      <c r="K31" s="207">
        <v>5.05</v>
      </c>
      <c r="L31" s="36">
        <v>5.62</v>
      </c>
      <c r="M31" s="208">
        <v>7.14</v>
      </c>
      <c r="N31" s="52"/>
      <c r="O31" s="52"/>
      <c r="P31" s="52"/>
      <c r="Q31" s="52"/>
      <c r="R31" s="52"/>
      <c r="S31" s="52"/>
      <c r="T31" s="52"/>
      <c r="U31" s="52"/>
      <c r="V31" s="52"/>
    </row>
    <row r="32" spans="1:22" ht="15" customHeight="1" x14ac:dyDescent="0.4">
      <c r="A32" s="52"/>
      <c r="B32" s="79" t="s">
        <v>65</v>
      </c>
      <c r="C32" s="191" t="s">
        <v>31</v>
      </c>
      <c r="D32" s="204" t="s">
        <v>228</v>
      </c>
      <c r="E32" s="191" t="s">
        <v>110</v>
      </c>
      <c r="F32" s="191"/>
      <c r="G32" s="125">
        <v>6</v>
      </c>
      <c r="H32" s="125">
        <v>10</v>
      </c>
      <c r="I32" s="205"/>
      <c r="J32" s="52"/>
      <c r="K32" s="207">
        <v>5.05</v>
      </c>
      <c r="L32" s="36">
        <v>5.62</v>
      </c>
      <c r="M32" s="208">
        <v>7.14</v>
      </c>
      <c r="N32" s="52"/>
      <c r="O32" s="52"/>
      <c r="P32" s="52"/>
      <c r="Q32" s="52"/>
      <c r="R32" s="52"/>
      <c r="S32" s="52"/>
      <c r="T32" s="52"/>
      <c r="U32" s="52"/>
      <c r="V32" s="52"/>
    </row>
    <row r="33" spans="1:22" ht="15" customHeight="1" x14ac:dyDescent="0.4">
      <c r="A33" s="52"/>
      <c r="B33" s="79" t="s">
        <v>66</v>
      </c>
      <c r="C33" s="191" t="s">
        <v>32</v>
      </c>
      <c r="D33" s="204" t="s">
        <v>229</v>
      </c>
      <c r="E33" s="191" t="s">
        <v>111</v>
      </c>
      <c r="F33" s="191"/>
      <c r="G33" s="125">
        <v>6</v>
      </c>
      <c r="H33" s="125">
        <v>10</v>
      </c>
      <c r="I33" s="205"/>
      <c r="J33" s="52"/>
      <c r="K33" s="207">
        <v>5.05</v>
      </c>
      <c r="L33" s="36">
        <v>5.62</v>
      </c>
      <c r="M33" s="208">
        <v>7.14</v>
      </c>
      <c r="N33" s="52"/>
      <c r="O33" s="52"/>
      <c r="P33" s="52"/>
      <c r="Q33" s="52"/>
      <c r="R33" s="52"/>
      <c r="S33" s="52"/>
      <c r="T33" s="52"/>
      <c r="U33" s="52"/>
      <c r="V33" s="52"/>
    </row>
    <row r="34" spans="1:22" ht="15" customHeight="1" x14ac:dyDescent="0.4">
      <c r="A34" s="52"/>
      <c r="B34" s="79" t="s">
        <v>76</v>
      </c>
      <c r="C34" s="191" t="s">
        <v>34</v>
      </c>
      <c r="D34" s="204" t="s">
        <v>230</v>
      </c>
      <c r="E34" s="191" t="s">
        <v>112</v>
      </c>
      <c r="F34" s="191"/>
      <c r="G34" s="125">
        <v>6</v>
      </c>
      <c r="H34" s="125">
        <v>10</v>
      </c>
      <c r="I34" s="205"/>
      <c r="J34" s="52"/>
      <c r="K34" s="207">
        <v>3.13</v>
      </c>
      <c r="L34" s="36">
        <v>3.49</v>
      </c>
      <c r="M34" s="208">
        <v>4.41</v>
      </c>
      <c r="N34" s="52"/>
      <c r="O34" s="52"/>
      <c r="P34" s="52"/>
      <c r="Q34" s="52"/>
      <c r="R34" s="52"/>
      <c r="S34" s="52"/>
      <c r="T34" s="52"/>
      <c r="U34" s="52"/>
      <c r="V34" s="52"/>
    </row>
    <row r="35" spans="1:22" ht="15" customHeight="1" x14ac:dyDescent="0.4">
      <c r="A35" s="52"/>
      <c r="B35" s="79" t="s">
        <v>75</v>
      </c>
      <c r="C35" s="191" t="s">
        <v>35</v>
      </c>
      <c r="D35" s="204" t="s">
        <v>231</v>
      </c>
      <c r="E35" s="191" t="s">
        <v>113</v>
      </c>
      <c r="F35" s="191"/>
      <c r="G35" s="125">
        <v>6</v>
      </c>
      <c r="H35" s="125">
        <v>10</v>
      </c>
      <c r="I35" s="205"/>
      <c r="J35" s="52"/>
      <c r="K35" s="207">
        <v>3.13</v>
      </c>
      <c r="L35" s="36">
        <v>3.49</v>
      </c>
      <c r="M35" s="208">
        <v>4.41</v>
      </c>
      <c r="N35" s="52"/>
      <c r="O35" s="52"/>
      <c r="P35" s="52"/>
      <c r="Q35" s="52"/>
      <c r="R35" s="52"/>
      <c r="S35" s="52"/>
      <c r="T35" s="52"/>
      <c r="U35" s="52"/>
      <c r="V35" s="52"/>
    </row>
    <row r="36" spans="1:22" ht="15" customHeight="1" x14ac:dyDescent="0.4">
      <c r="A36" s="52"/>
      <c r="B36" s="79" t="s">
        <v>77</v>
      </c>
      <c r="C36" s="191" t="s">
        <v>33</v>
      </c>
      <c r="D36" s="204" t="s">
        <v>232</v>
      </c>
      <c r="E36" s="191" t="s">
        <v>114</v>
      </c>
      <c r="F36" s="191"/>
      <c r="G36" s="125">
        <v>6</v>
      </c>
      <c r="H36" s="125">
        <v>10</v>
      </c>
      <c r="I36" s="205"/>
      <c r="J36" s="52"/>
      <c r="K36" s="207">
        <v>3.13</v>
      </c>
      <c r="L36" s="36">
        <v>3.49</v>
      </c>
      <c r="M36" s="208">
        <v>4.41</v>
      </c>
      <c r="N36" s="52"/>
      <c r="O36" s="52"/>
      <c r="P36" s="52"/>
      <c r="Q36" s="52"/>
      <c r="R36" s="52"/>
      <c r="S36" s="52"/>
      <c r="T36" s="52"/>
      <c r="U36" s="52"/>
      <c r="V36" s="52"/>
    </row>
    <row r="37" spans="1:22" ht="15" customHeight="1" x14ac:dyDescent="0.4">
      <c r="A37" s="52"/>
      <c r="B37" s="79" t="s">
        <v>149</v>
      </c>
      <c r="C37" s="191" t="s">
        <v>151</v>
      </c>
      <c r="D37" s="204" t="s">
        <v>233</v>
      </c>
      <c r="E37" s="191" t="s">
        <v>150</v>
      </c>
      <c r="F37" s="191"/>
      <c r="G37" s="125">
        <v>6</v>
      </c>
      <c r="H37" s="125">
        <v>10</v>
      </c>
      <c r="I37" s="205"/>
      <c r="J37" s="52"/>
      <c r="K37" s="207">
        <v>19.43</v>
      </c>
      <c r="L37" s="36">
        <v>21.71</v>
      </c>
      <c r="M37" s="208">
        <v>27.6</v>
      </c>
      <c r="N37" s="52"/>
      <c r="O37" s="52"/>
      <c r="P37" s="52"/>
      <c r="Q37" s="52"/>
      <c r="R37" s="52"/>
      <c r="S37" s="52"/>
      <c r="T37" s="52"/>
      <c r="U37" s="52"/>
      <c r="V37" s="52"/>
    </row>
    <row r="38" spans="1:22" ht="15" customHeight="1" x14ac:dyDescent="0.4">
      <c r="A38" s="52"/>
      <c r="B38" s="80" t="s">
        <v>147</v>
      </c>
      <c r="C38" s="191" t="s">
        <v>148</v>
      </c>
      <c r="D38" s="204" t="s">
        <v>234</v>
      </c>
      <c r="E38" s="191" t="s">
        <v>146</v>
      </c>
      <c r="F38" s="191"/>
      <c r="G38" s="125">
        <v>6</v>
      </c>
      <c r="H38" s="125">
        <v>20</v>
      </c>
      <c r="I38" s="205"/>
      <c r="J38" s="52"/>
      <c r="K38" s="207">
        <v>7.76</v>
      </c>
      <c r="L38" s="36">
        <v>8.94</v>
      </c>
      <c r="M38" s="208">
        <v>10.49</v>
      </c>
      <c r="N38" s="52"/>
      <c r="O38" s="52"/>
      <c r="P38" s="52"/>
      <c r="Q38" s="52"/>
      <c r="R38" s="52"/>
      <c r="S38" s="52"/>
      <c r="T38" s="52"/>
      <c r="U38" s="52"/>
      <c r="V38" s="52"/>
    </row>
    <row r="39" spans="1:22" ht="15" customHeight="1" x14ac:dyDescent="0.4">
      <c r="A39" s="52"/>
      <c r="B39" s="81" t="s">
        <v>78</v>
      </c>
      <c r="C39" s="191" t="s">
        <v>36</v>
      </c>
      <c r="D39" s="204" t="s">
        <v>235</v>
      </c>
      <c r="E39" s="191" t="s">
        <v>115</v>
      </c>
      <c r="F39" s="191"/>
      <c r="G39" s="125">
        <v>5</v>
      </c>
      <c r="H39" s="125">
        <v>10</v>
      </c>
      <c r="I39" s="205"/>
      <c r="J39" s="52"/>
      <c r="K39" s="207">
        <v>6.21</v>
      </c>
      <c r="L39" s="36">
        <v>6.8</v>
      </c>
      <c r="M39" s="208">
        <v>7.07</v>
      </c>
      <c r="N39" s="52"/>
      <c r="O39" s="52"/>
      <c r="P39" s="52"/>
      <c r="Q39" s="52"/>
      <c r="R39" s="52"/>
      <c r="S39" s="52"/>
      <c r="T39" s="52"/>
      <c r="U39" s="52"/>
      <c r="V39" s="52"/>
    </row>
    <row r="40" spans="1:22" ht="15" customHeight="1" x14ac:dyDescent="0.4">
      <c r="A40" s="52"/>
      <c r="B40" s="81" t="s">
        <v>79</v>
      </c>
      <c r="C40" s="191" t="s">
        <v>37</v>
      </c>
      <c r="D40" s="204" t="s">
        <v>236</v>
      </c>
      <c r="E40" s="191" t="s">
        <v>116</v>
      </c>
      <c r="F40" s="191"/>
      <c r="G40" s="125">
        <v>5</v>
      </c>
      <c r="H40" s="125">
        <v>10</v>
      </c>
      <c r="I40" s="205"/>
      <c r="J40" s="52"/>
      <c r="K40" s="207">
        <v>6.21</v>
      </c>
      <c r="L40" s="36">
        <v>6.8</v>
      </c>
      <c r="M40" s="208">
        <v>7.07</v>
      </c>
      <c r="N40" s="52"/>
      <c r="O40" s="52"/>
      <c r="P40" s="52"/>
      <c r="Q40" s="52"/>
      <c r="R40" s="52"/>
      <c r="S40" s="52"/>
      <c r="T40" s="52"/>
      <c r="U40" s="52"/>
      <c r="V40" s="52"/>
    </row>
    <row r="41" spans="1:22" ht="15" customHeight="1" x14ac:dyDescent="0.4">
      <c r="A41" s="52"/>
      <c r="B41" s="82" t="s">
        <v>6</v>
      </c>
      <c r="C41" s="191" t="s">
        <v>38</v>
      </c>
      <c r="D41" s="204" t="s">
        <v>237</v>
      </c>
      <c r="E41" s="191" t="s">
        <v>117</v>
      </c>
      <c r="F41" s="191"/>
      <c r="G41" s="125">
        <v>4</v>
      </c>
      <c r="H41" s="125">
        <v>10</v>
      </c>
      <c r="I41" s="205"/>
      <c r="J41" s="52"/>
      <c r="K41" s="207">
        <v>12.94</v>
      </c>
      <c r="L41" s="36">
        <v>14.52</v>
      </c>
      <c r="M41" s="208">
        <v>18.47</v>
      </c>
      <c r="N41" s="52"/>
      <c r="O41" s="52"/>
      <c r="P41" s="52"/>
      <c r="Q41" s="52"/>
      <c r="R41" s="52"/>
      <c r="S41" s="52"/>
      <c r="T41" s="52"/>
      <c r="U41" s="52"/>
      <c r="V41" s="52"/>
    </row>
    <row r="42" spans="1:22" ht="15" customHeight="1" x14ac:dyDescent="0.4">
      <c r="A42" s="52"/>
      <c r="B42" s="83" t="s">
        <v>7</v>
      </c>
      <c r="C42" s="191" t="s">
        <v>39</v>
      </c>
      <c r="D42" s="204" t="s">
        <v>238</v>
      </c>
      <c r="E42" s="191" t="s">
        <v>118</v>
      </c>
      <c r="F42" s="191"/>
      <c r="G42" s="125">
        <v>3</v>
      </c>
      <c r="H42" s="125">
        <v>10</v>
      </c>
      <c r="I42" s="205"/>
      <c r="J42" s="52"/>
      <c r="K42" s="207">
        <v>22.41</v>
      </c>
      <c r="L42" s="36">
        <v>25.08</v>
      </c>
      <c r="M42" s="208">
        <v>34.72</v>
      </c>
      <c r="N42" s="52"/>
      <c r="O42" s="52"/>
      <c r="P42" s="52"/>
      <c r="Q42" s="52"/>
      <c r="R42" s="52"/>
      <c r="S42" s="52"/>
      <c r="T42" s="52"/>
      <c r="U42" s="52"/>
      <c r="V42" s="52"/>
    </row>
    <row r="43" spans="1:22" ht="15" customHeight="1" x14ac:dyDescent="0.4">
      <c r="A43" s="52"/>
      <c r="B43" s="83" t="s">
        <v>80</v>
      </c>
      <c r="C43" s="191" t="s">
        <v>86</v>
      </c>
      <c r="D43" s="204" t="s">
        <v>239</v>
      </c>
      <c r="E43" s="191" t="s">
        <v>119</v>
      </c>
      <c r="F43" s="191"/>
      <c r="G43" s="125">
        <v>3</v>
      </c>
      <c r="H43" s="125">
        <v>10</v>
      </c>
      <c r="I43" s="205"/>
      <c r="J43" s="52"/>
      <c r="K43" s="207">
        <v>24.06</v>
      </c>
      <c r="L43" s="36">
        <v>26.89</v>
      </c>
      <c r="M43" s="208">
        <v>41.53</v>
      </c>
      <c r="N43" s="52"/>
      <c r="O43" s="52"/>
      <c r="P43" s="52"/>
      <c r="Q43" s="52"/>
      <c r="R43" s="52"/>
      <c r="S43" s="52"/>
      <c r="T43" s="52"/>
      <c r="U43" s="52"/>
      <c r="V43" s="52"/>
    </row>
    <row r="44" spans="1:22" ht="15" customHeight="1" x14ac:dyDescent="0.4">
      <c r="A44" s="52"/>
      <c r="B44" s="83" t="s">
        <v>8</v>
      </c>
      <c r="C44" s="191" t="s">
        <v>41</v>
      </c>
      <c r="D44" s="204" t="s">
        <v>240</v>
      </c>
      <c r="E44" s="191" t="s">
        <v>120</v>
      </c>
      <c r="F44" s="191"/>
      <c r="G44" s="125">
        <v>3</v>
      </c>
      <c r="H44" s="125">
        <v>10</v>
      </c>
      <c r="I44" s="205"/>
      <c r="J44" s="52"/>
      <c r="K44" s="207">
        <v>30.45</v>
      </c>
      <c r="L44" s="36">
        <v>34.07</v>
      </c>
      <c r="M44" s="208">
        <v>54.09</v>
      </c>
      <c r="N44" s="52"/>
      <c r="O44" s="52"/>
      <c r="P44" s="52"/>
      <c r="Q44" s="52"/>
      <c r="R44" s="52"/>
      <c r="S44" s="52"/>
      <c r="T44" s="52"/>
      <c r="U44" s="52"/>
      <c r="V44" s="52"/>
    </row>
    <row r="45" spans="1:22" ht="15" customHeight="1" x14ac:dyDescent="0.4">
      <c r="A45" s="52"/>
      <c r="B45" s="83" t="s">
        <v>9</v>
      </c>
      <c r="C45" s="191" t="s">
        <v>40</v>
      </c>
      <c r="D45" s="204" t="s">
        <v>241</v>
      </c>
      <c r="E45" s="191" t="s">
        <v>121</v>
      </c>
      <c r="F45" s="191"/>
      <c r="G45" s="125">
        <v>3</v>
      </c>
      <c r="H45" s="125">
        <v>10</v>
      </c>
      <c r="I45" s="205"/>
      <c r="J45" s="52"/>
      <c r="K45" s="207">
        <v>34.42</v>
      </c>
      <c r="L45" s="36">
        <v>38.5</v>
      </c>
      <c r="M45" s="208">
        <v>61.64</v>
      </c>
      <c r="N45" s="52"/>
      <c r="O45" s="52"/>
      <c r="P45" s="52"/>
      <c r="Q45" s="52"/>
      <c r="R45" s="52"/>
      <c r="S45" s="52"/>
      <c r="T45" s="52"/>
      <c r="U45" s="52"/>
      <c r="V45" s="52"/>
    </row>
    <row r="46" spans="1:22" ht="15" customHeight="1" x14ac:dyDescent="0.4">
      <c r="A46" s="52"/>
      <c r="B46" s="83" t="s">
        <v>10</v>
      </c>
      <c r="C46" s="191" t="s">
        <v>42</v>
      </c>
      <c r="D46" s="204" t="s">
        <v>242</v>
      </c>
      <c r="E46" s="191" t="s">
        <v>122</v>
      </c>
      <c r="F46" s="191"/>
      <c r="G46" s="125">
        <v>3</v>
      </c>
      <c r="H46" s="125">
        <v>10</v>
      </c>
      <c r="I46" s="205"/>
      <c r="J46" s="52"/>
      <c r="K46" s="207">
        <v>19.13</v>
      </c>
      <c r="L46" s="36">
        <v>24.1</v>
      </c>
      <c r="M46" s="208">
        <v>34.72</v>
      </c>
      <c r="N46" s="52"/>
      <c r="O46" s="52"/>
      <c r="P46" s="52"/>
      <c r="Q46" s="52"/>
      <c r="R46" s="52"/>
      <c r="S46" s="52"/>
      <c r="T46" s="52"/>
      <c r="U46" s="52"/>
      <c r="V46" s="52"/>
    </row>
    <row r="47" spans="1:22" ht="15" customHeight="1" x14ac:dyDescent="0.4">
      <c r="A47" s="52"/>
      <c r="B47" s="83" t="s">
        <v>11</v>
      </c>
      <c r="C47" s="191" t="s">
        <v>43</v>
      </c>
      <c r="D47" s="204" t="s">
        <v>243</v>
      </c>
      <c r="E47" s="191" t="s">
        <v>123</v>
      </c>
      <c r="F47" s="191"/>
      <c r="G47" s="125">
        <v>3</v>
      </c>
      <c r="H47" s="125">
        <v>10</v>
      </c>
      <c r="I47" s="205"/>
      <c r="J47" s="52"/>
      <c r="K47" s="207">
        <v>30.45</v>
      </c>
      <c r="L47" s="36">
        <v>35.71</v>
      </c>
      <c r="M47" s="208">
        <v>54.09</v>
      </c>
      <c r="N47" s="52"/>
      <c r="O47" s="52"/>
      <c r="P47" s="52"/>
      <c r="Q47" s="52"/>
      <c r="R47" s="52"/>
      <c r="S47" s="52"/>
      <c r="T47" s="52"/>
      <c r="U47" s="52"/>
      <c r="V47" s="52"/>
    </row>
    <row r="48" spans="1:22" ht="15" customHeight="1" x14ac:dyDescent="0.4">
      <c r="A48" s="52"/>
      <c r="B48" s="83" t="s">
        <v>12</v>
      </c>
      <c r="C48" s="191" t="s">
        <v>44</v>
      </c>
      <c r="D48" s="204" t="s">
        <v>244</v>
      </c>
      <c r="E48" s="191" t="s">
        <v>124</v>
      </c>
      <c r="F48" s="191"/>
      <c r="G48" s="125">
        <v>3</v>
      </c>
      <c r="H48" s="125">
        <v>10</v>
      </c>
      <c r="I48" s="205"/>
      <c r="J48" s="52"/>
      <c r="K48" s="207">
        <v>34.42</v>
      </c>
      <c r="L48" s="36">
        <v>47.23</v>
      </c>
      <c r="M48" s="208">
        <v>43.03</v>
      </c>
      <c r="N48" s="52"/>
      <c r="O48" s="52"/>
      <c r="P48" s="52"/>
      <c r="Q48" s="52"/>
      <c r="R48" s="52"/>
      <c r="S48" s="52"/>
      <c r="T48" s="52"/>
      <c r="U48" s="52"/>
      <c r="V48" s="52"/>
    </row>
    <row r="49" spans="1:22" ht="15" customHeight="1" x14ac:dyDescent="0.4">
      <c r="A49" s="52"/>
      <c r="B49" s="83" t="s">
        <v>13</v>
      </c>
      <c r="C49" s="191" t="s">
        <v>45</v>
      </c>
      <c r="D49" s="204" t="s">
        <v>245</v>
      </c>
      <c r="E49" s="191" t="s">
        <v>125</v>
      </c>
      <c r="F49" s="191"/>
      <c r="G49" s="125">
        <v>20</v>
      </c>
      <c r="H49" s="125">
        <v>40</v>
      </c>
      <c r="I49" s="205"/>
      <c r="J49" s="52"/>
      <c r="K49" s="207">
        <v>3.72</v>
      </c>
      <c r="L49" s="36">
        <v>4.43</v>
      </c>
      <c r="M49" s="208">
        <v>5.6</v>
      </c>
      <c r="N49" s="52"/>
      <c r="O49" s="52"/>
      <c r="P49" s="52"/>
      <c r="Q49" s="52"/>
      <c r="R49" s="52"/>
      <c r="S49" s="52"/>
      <c r="T49" s="52"/>
      <c r="U49" s="52"/>
      <c r="V49" s="52"/>
    </row>
    <row r="50" spans="1:22" ht="15" customHeight="1" x14ac:dyDescent="0.4">
      <c r="A50" s="52"/>
      <c r="B50" s="84" t="s">
        <v>87</v>
      </c>
      <c r="C50" s="191" t="s">
        <v>28</v>
      </c>
      <c r="D50" s="210" t="s">
        <v>246</v>
      </c>
      <c r="E50" s="191" t="s">
        <v>126</v>
      </c>
      <c r="F50" s="211"/>
      <c r="G50" s="13">
        <v>2</v>
      </c>
      <c r="H50" s="13">
        <v>1</v>
      </c>
      <c r="I50" s="205"/>
      <c r="J50" s="52"/>
      <c r="K50" s="207">
        <v>104.49</v>
      </c>
      <c r="L50" s="36">
        <v>111.75</v>
      </c>
      <c r="M50" s="208">
        <v>121.47</v>
      </c>
      <c r="N50" s="52"/>
      <c r="O50" s="52"/>
      <c r="P50" s="52"/>
      <c r="Q50" s="52"/>
      <c r="R50" s="52"/>
      <c r="S50" s="52"/>
      <c r="T50" s="52"/>
      <c r="U50" s="52"/>
      <c r="V50" s="52"/>
    </row>
    <row r="51" spans="1:22" ht="15" customHeight="1" x14ac:dyDescent="0.4">
      <c r="A51" s="52"/>
      <c r="B51" s="85" t="s">
        <v>88</v>
      </c>
      <c r="C51" s="191" t="s">
        <v>89</v>
      </c>
      <c r="D51" s="210" t="s">
        <v>247</v>
      </c>
      <c r="E51" s="191" t="s">
        <v>127</v>
      </c>
      <c r="F51" s="211"/>
      <c r="G51" s="13">
        <v>2</v>
      </c>
      <c r="H51" s="13">
        <v>1</v>
      </c>
      <c r="I51" s="205"/>
      <c r="J51" s="52"/>
      <c r="K51" s="207">
        <v>104.49</v>
      </c>
      <c r="L51" s="36">
        <v>111.75</v>
      </c>
      <c r="M51" s="208">
        <v>121.47</v>
      </c>
      <c r="N51" s="52"/>
      <c r="O51" s="52"/>
      <c r="P51" s="52"/>
      <c r="Q51" s="52"/>
      <c r="R51" s="52"/>
      <c r="S51" s="52"/>
      <c r="T51" s="52"/>
      <c r="U51" s="52"/>
      <c r="V51" s="52"/>
    </row>
    <row r="52" spans="1:22" ht="15" customHeight="1" x14ac:dyDescent="0.4">
      <c r="A52" s="52"/>
      <c r="B52" s="84" t="s">
        <v>155</v>
      </c>
      <c r="C52" s="191" t="s">
        <v>152</v>
      </c>
      <c r="D52" s="210" t="s">
        <v>247</v>
      </c>
      <c r="E52" s="191" t="s">
        <v>126</v>
      </c>
      <c r="F52" s="191"/>
      <c r="G52" s="125">
        <v>2</v>
      </c>
      <c r="H52" s="125">
        <v>1</v>
      </c>
      <c r="I52" s="205"/>
      <c r="J52" s="52"/>
      <c r="K52" s="207">
        <v>104.49</v>
      </c>
      <c r="L52" s="36">
        <v>111.98</v>
      </c>
      <c r="M52" s="208">
        <v>130.61000000000001</v>
      </c>
      <c r="N52" s="52"/>
      <c r="O52" s="52"/>
      <c r="P52" s="52"/>
      <c r="Q52" s="52"/>
      <c r="R52" s="52"/>
      <c r="S52" s="52"/>
      <c r="T52" s="52"/>
      <c r="U52" s="52"/>
      <c r="V52" s="52"/>
    </row>
    <row r="53" spans="1:22" ht="15" customHeight="1" x14ac:dyDescent="0.4">
      <c r="A53" s="52"/>
      <c r="B53" s="85" t="s">
        <v>14</v>
      </c>
      <c r="C53" s="191" t="s">
        <v>46</v>
      </c>
      <c r="D53" s="204" t="s">
        <v>248</v>
      </c>
      <c r="E53" s="191" t="s">
        <v>128</v>
      </c>
      <c r="F53" s="191"/>
      <c r="G53" s="125">
        <v>2</v>
      </c>
      <c r="H53" s="125">
        <v>1</v>
      </c>
      <c r="I53" s="205"/>
      <c r="J53" s="52"/>
      <c r="K53" s="207">
        <v>39.86</v>
      </c>
      <c r="L53" s="36">
        <v>47.14</v>
      </c>
      <c r="M53" s="208">
        <v>59.91</v>
      </c>
      <c r="N53" s="52"/>
      <c r="O53" s="52"/>
      <c r="P53" s="52"/>
      <c r="Q53" s="52"/>
      <c r="R53" s="52"/>
      <c r="S53" s="52"/>
      <c r="T53" s="52"/>
      <c r="U53" s="52"/>
      <c r="V53" s="52"/>
    </row>
    <row r="54" spans="1:22" ht="15" customHeight="1" x14ac:dyDescent="0.4">
      <c r="A54" s="52"/>
      <c r="B54" s="85" t="s">
        <v>15</v>
      </c>
      <c r="C54" s="191" t="s">
        <v>47</v>
      </c>
      <c r="D54" s="204" t="s">
        <v>249</v>
      </c>
      <c r="E54" s="191" t="s">
        <v>129</v>
      </c>
      <c r="F54" s="191"/>
      <c r="G54" s="125">
        <v>2</v>
      </c>
      <c r="H54" s="125">
        <v>1</v>
      </c>
      <c r="I54" s="205"/>
      <c r="J54" s="52"/>
      <c r="K54" s="207">
        <v>43.89</v>
      </c>
      <c r="L54" s="36">
        <v>51.9</v>
      </c>
      <c r="M54" s="208">
        <v>65.930000000000007</v>
      </c>
      <c r="N54" s="52"/>
      <c r="O54" s="52"/>
      <c r="P54" s="52"/>
      <c r="Q54" s="52"/>
      <c r="R54" s="52"/>
      <c r="S54" s="52"/>
      <c r="T54" s="52"/>
      <c r="U54" s="52"/>
      <c r="V54" s="52"/>
    </row>
    <row r="55" spans="1:22" ht="15" customHeight="1" x14ac:dyDescent="0.4">
      <c r="A55" s="52"/>
      <c r="B55" s="85" t="s">
        <v>16</v>
      </c>
      <c r="C55" s="191" t="s">
        <v>48</v>
      </c>
      <c r="D55" s="204" t="s">
        <v>250</v>
      </c>
      <c r="E55" s="191" t="s">
        <v>130</v>
      </c>
      <c r="F55" s="191"/>
      <c r="G55" s="125">
        <v>1</v>
      </c>
      <c r="H55" s="125">
        <v>1</v>
      </c>
      <c r="I55" s="205"/>
      <c r="J55" s="52"/>
      <c r="K55" s="207">
        <v>80.02</v>
      </c>
      <c r="L55" s="36">
        <v>92.03</v>
      </c>
      <c r="M55" s="208">
        <v>124.85</v>
      </c>
      <c r="N55" s="52"/>
      <c r="O55" s="52"/>
      <c r="P55" s="52"/>
      <c r="Q55" s="52"/>
      <c r="R55" s="52"/>
      <c r="S55" s="52"/>
      <c r="T55" s="52"/>
      <c r="U55" s="52"/>
      <c r="V55" s="52"/>
    </row>
    <row r="56" spans="1:22" ht="15" customHeight="1" x14ac:dyDescent="0.4">
      <c r="A56" s="52"/>
      <c r="B56" s="85" t="s">
        <v>142</v>
      </c>
      <c r="C56" s="191" t="s">
        <v>262</v>
      </c>
      <c r="D56" s="204" t="s">
        <v>251</v>
      </c>
      <c r="E56" s="191" t="s">
        <v>133</v>
      </c>
      <c r="F56" s="191"/>
      <c r="G56" s="125">
        <v>2</v>
      </c>
      <c r="H56" s="125">
        <v>1</v>
      </c>
      <c r="I56" s="205"/>
      <c r="J56" s="52"/>
      <c r="K56" s="207">
        <v>125.87</v>
      </c>
      <c r="L56" s="36">
        <v>138.44</v>
      </c>
      <c r="M56" s="208">
        <v>157.31</v>
      </c>
      <c r="N56" s="52"/>
      <c r="O56" s="52"/>
      <c r="P56" s="52"/>
      <c r="Q56" s="52"/>
      <c r="R56" s="52"/>
      <c r="S56" s="52"/>
      <c r="T56" s="52"/>
      <c r="U56" s="52"/>
      <c r="V56" s="52"/>
    </row>
    <row r="57" spans="1:22" ht="15" customHeight="1" x14ac:dyDescent="0.4">
      <c r="A57" s="52"/>
      <c r="B57" s="85" t="s">
        <v>141</v>
      </c>
      <c r="C57" s="191" t="s">
        <v>140</v>
      </c>
      <c r="D57" s="204" t="s">
        <v>252</v>
      </c>
      <c r="E57" s="191" t="s">
        <v>136</v>
      </c>
      <c r="F57" s="191"/>
      <c r="G57" s="125">
        <v>2</v>
      </c>
      <c r="H57" s="125">
        <v>1</v>
      </c>
      <c r="I57" s="205"/>
      <c r="J57" s="52"/>
      <c r="K57" s="207">
        <v>69.31</v>
      </c>
      <c r="L57" s="36">
        <v>76.239999999999995</v>
      </c>
      <c r="M57" s="208">
        <v>86.64</v>
      </c>
      <c r="N57" s="52"/>
      <c r="O57" s="52"/>
      <c r="P57" s="52"/>
      <c r="Q57" s="52"/>
      <c r="R57" s="52"/>
      <c r="S57" s="52"/>
      <c r="T57" s="52"/>
      <c r="U57" s="52"/>
      <c r="V57" s="52"/>
    </row>
    <row r="58" spans="1:22" ht="15" customHeight="1" x14ac:dyDescent="0.4">
      <c r="A58" s="52"/>
      <c r="B58" s="85" t="s">
        <v>144</v>
      </c>
      <c r="C58" s="191" t="s">
        <v>145</v>
      </c>
      <c r="D58" s="204" t="s">
        <v>251</v>
      </c>
      <c r="E58" s="191" t="s">
        <v>137</v>
      </c>
      <c r="F58" s="191"/>
      <c r="G58" s="125">
        <v>2</v>
      </c>
      <c r="H58" s="125">
        <v>1</v>
      </c>
      <c r="I58" s="205"/>
      <c r="J58" s="52"/>
      <c r="K58" s="207">
        <v>125.87</v>
      </c>
      <c r="L58" s="36">
        <v>138.44</v>
      </c>
      <c r="M58" s="208">
        <v>157.31</v>
      </c>
      <c r="N58" s="52"/>
      <c r="O58" s="52"/>
      <c r="P58" s="52"/>
      <c r="Q58" s="52"/>
      <c r="R58" s="52"/>
      <c r="S58" s="52"/>
      <c r="T58" s="52"/>
      <c r="U58" s="52"/>
      <c r="V58" s="52"/>
    </row>
    <row r="59" spans="1:22" ht="15" customHeight="1" x14ac:dyDescent="0.4">
      <c r="A59" s="52"/>
      <c r="B59" s="85" t="s">
        <v>143</v>
      </c>
      <c r="C59" s="191" t="s">
        <v>190</v>
      </c>
      <c r="D59" s="204" t="s">
        <v>253</v>
      </c>
      <c r="E59" s="191" t="s">
        <v>138</v>
      </c>
      <c r="F59" s="191"/>
      <c r="G59" s="125">
        <v>2</v>
      </c>
      <c r="H59" s="125">
        <v>1</v>
      </c>
      <c r="I59" s="205"/>
      <c r="J59" s="52"/>
      <c r="K59" s="207">
        <v>75</v>
      </c>
      <c r="L59" s="36">
        <v>75</v>
      </c>
      <c r="M59" s="208">
        <v>93.75</v>
      </c>
      <c r="N59" s="52"/>
      <c r="O59" s="52"/>
      <c r="P59" s="52"/>
      <c r="Q59" s="52"/>
      <c r="R59" s="52"/>
      <c r="S59" s="52"/>
      <c r="T59" s="52"/>
      <c r="U59" s="52"/>
      <c r="V59" s="52"/>
    </row>
    <row r="60" spans="1:22" ht="15" customHeight="1" x14ac:dyDescent="0.4">
      <c r="B60" s="84" t="s">
        <v>60</v>
      </c>
      <c r="C60" s="191" t="s">
        <v>22</v>
      </c>
      <c r="D60" s="204" t="s">
        <v>254</v>
      </c>
      <c r="E60" s="191" t="s">
        <v>96</v>
      </c>
      <c r="F60" s="191"/>
      <c r="G60" s="125">
        <v>2</v>
      </c>
      <c r="H60" s="125">
        <v>1</v>
      </c>
      <c r="I60" s="205"/>
      <c r="J60" s="212"/>
      <c r="K60" s="207">
        <v>64.510000000000005</v>
      </c>
      <c r="L60" s="36">
        <v>75.89</v>
      </c>
      <c r="M60" s="208">
        <v>97.61</v>
      </c>
      <c r="N60" s="52"/>
      <c r="O60" s="52"/>
      <c r="P60" s="52"/>
      <c r="Q60" s="52"/>
      <c r="R60" s="52"/>
      <c r="S60" s="52"/>
      <c r="T60" s="52"/>
      <c r="U60" s="52"/>
      <c r="V60" s="52"/>
    </row>
    <row r="61" spans="1:22" ht="15" customHeight="1" x14ac:dyDescent="0.4"/>
    <row r="62" spans="1:22" ht="26.25" customHeight="1" x14ac:dyDescent="0.4"/>
    <row r="63" spans="1:22" ht="26.25" customHeight="1" x14ac:dyDescent="0.4"/>
    <row r="64" spans="1:22" ht="26.25" customHeight="1" x14ac:dyDescent="0.4"/>
    <row r="65" ht="26.25" customHeight="1" x14ac:dyDescent="0.4"/>
    <row r="66" ht="26.25" customHeight="1" x14ac:dyDescent="0.4"/>
    <row r="67" ht="26.25" customHeight="1" x14ac:dyDescent="0.4"/>
  </sheetData>
  <sheetProtection algorithmName="SHA-512" hashValue="AXlIGZ2ence/oG9TAf4vl4I+zYuhjxhF0QgELHM2SumDtXjIleOOwjQkhb2ETqIr5R1xjIS0CdG18rE+SvDdPw==" saltValue="wQGDcrdW9woLHu9WbeYg6Q==" spinCount="100000" sheet="1" selectLockedCells="1" selectUnlockedCells="1"/>
  <phoneticPr fontId="9" type="noConversion"/>
  <hyperlinks>
    <hyperlink ref="D6" r:id="rId1" xr:uid="{00000000-0004-0000-0400-000001000000}"/>
    <hyperlink ref="D7" r:id="rId2" xr:uid="{00000000-0004-0000-0400-000002000000}"/>
    <hyperlink ref="D9" r:id="rId3" xr:uid="{00000000-0004-0000-0400-000003000000}"/>
    <hyperlink ref="D10" r:id="rId4" xr:uid="{00000000-0004-0000-0400-000004000000}"/>
    <hyperlink ref="D11" r:id="rId5" xr:uid="{00000000-0004-0000-0400-000005000000}"/>
    <hyperlink ref="D12" r:id="rId6" xr:uid="{00000000-0004-0000-0400-000006000000}"/>
    <hyperlink ref="D13" r:id="rId7" xr:uid="{00000000-0004-0000-0400-000007000000}"/>
    <hyperlink ref="D14" r:id="rId8" xr:uid="{00000000-0004-0000-0400-000008000000}"/>
    <hyperlink ref="D16" r:id="rId9" xr:uid="{00000000-0004-0000-0400-000009000000}"/>
    <hyperlink ref="D17" r:id="rId10" xr:uid="{00000000-0004-0000-0400-00000A000000}"/>
    <hyperlink ref="D18" r:id="rId11" xr:uid="{00000000-0004-0000-0400-00000B000000}"/>
    <hyperlink ref="D19" r:id="rId12" xr:uid="{00000000-0004-0000-0400-00000C000000}"/>
    <hyperlink ref="D20" r:id="rId13" xr:uid="{00000000-0004-0000-0400-00000D000000}"/>
    <hyperlink ref="D21" r:id="rId14" xr:uid="{00000000-0004-0000-0400-00000E000000}"/>
    <hyperlink ref="D24" r:id="rId15" xr:uid="{00000000-0004-0000-0400-00000F000000}"/>
    <hyperlink ref="D26" r:id="rId16" xr:uid="{00000000-0004-0000-0400-000010000000}"/>
    <hyperlink ref="D27" r:id="rId17" xr:uid="{00000000-0004-0000-0400-000011000000}"/>
    <hyperlink ref="D28" r:id="rId18" xr:uid="{00000000-0004-0000-0400-000012000000}"/>
    <hyperlink ref="D29" r:id="rId19" xr:uid="{00000000-0004-0000-0400-000013000000}"/>
    <hyperlink ref="D30" r:id="rId20" xr:uid="{00000000-0004-0000-0400-000016000000}"/>
    <hyperlink ref="D31" r:id="rId21" xr:uid="{00000000-0004-0000-0400-000017000000}"/>
    <hyperlink ref="D32" r:id="rId22" xr:uid="{00000000-0004-0000-0400-000018000000}"/>
    <hyperlink ref="D33" r:id="rId23" xr:uid="{00000000-0004-0000-0400-000019000000}"/>
    <hyperlink ref="D34" r:id="rId24" xr:uid="{00000000-0004-0000-0400-00001A000000}"/>
    <hyperlink ref="D35" r:id="rId25" xr:uid="{00000000-0004-0000-0400-00001B000000}"/>
    <hyperlink ref="D36" r:id="rId26" xr:uid="{00000000-0004-0000-0400-00001C000000}"/>
    <hyperlink ref="D37" r:id="rId27" xr:uid="{00000000-0004-0000-0400-00001D000000}"/>
    <hyperlink ref="D39" r:id="rId28" xr:uid="{00000000-0004-0000-0400-00001E000000}"/>
    <hyperlink ref="D40" r:id="rId29" xr:uid="{00000000-0004-0000-0400-00001F000000}"/>
    <hyperlink ref="D41" r:id="rId30" xr:uid="{00000000-0004-0000-0400-000020000000}"/>
    <hyperlink ref="D42" r:id="rId31" xr:uid="{00000000-0004-0000-0400-000021000000}"/>
    <hyperlink ref="D43" r:id="rId32" xr:uid="{00000000-0004-0000-0400-000022000000}"/>
    <hyperlink ref="D44" r:id="rId33" xr:uid="{00000000-0004-0000-0400-000023000000}"/>
    <hyperlink ref="D45" r:id="rId34" xr:uid="{00000000-0004-0000-0400-000024000000}"/>
    <hyperlink ref="D46" r:id="rId35" xr:uid="{00000000-0004-0000-0400-000025000000}"/>
    <hyperlink ref="D47" r:id="rId36" xr:uid="{00000000-0004-0000-0400-000026000000}"/>
    <hyperlink ref="D48" r:id="rId37" xr:uid="{00000000-0004-0000-0400-000027000000}"/>
    <hyperlink ref="D49" r:id="rId38" xr:uid="{00000000-0004-0000-0400-000028000000}"/>
    <hyperlink ref="D50" r:id="rId39" xr:uid="{00000000-0004-0000-0400-000029000000}"/>
    <hyperlink ref="D51" r:id="rId40" xr:uid="{00000000-0004-0000-0400-00002A000000}"/>
    <hyperlink ref="D53" r:id="rId41" xr:uid="{00000000-0004-0000-0400-00002B000000}"/>
    <hyperlink ref="D54" r:id="rId42" xr:uid="{00000000-0004-0000-0400-00002C000000}"/>
    <hyperlink ref="D56" r:id="rId43" xr:uid="{00000000-0004-0000-0400-00002D000000}"/>
    <hyperlink ref="D57" r:id="rId44" display="https://www.jspsafety.com/products/AdB28A100400_EVOGuard-C2-industrial-Browguard-System" xr:uid="{00000000-0004-0000-0400-00002E000000}"/>
    <hyperlink ref="D58" r:id="rId45" xr:uid="{00000000-0004-0000-0400-00002F000000}"/>
    <hyperlink ref="D60" r:id="rId46" xr:uid="{00000000-0004-0000-0400-000030000000}"/>
    <hyperlink ref="D22" r:id="rId47" xr:uid="{00000000-0004-0000-0400-000031000000}"/>
    <hyperlink ref="D23" r:id="rId48" xr:uid="{00000000-0004-0000-0400-000032000000}"/>
    <hyperlink ref="D25" r:id="rId49" xr:uid="{00000000-0004-0000-0400-000033000000}"/>
    <hyperlink ref="D55" r:id="rId50" xr:uid="{00000000-0004-0000-0400-000034000000}"/>
    <hyperlink ref="D52" r:id="rId51" xr:uid="{00000000-0004-0000-0400-000035000000}"/>
    <hyperlink ref="D59" r:id="rId52" xr:uid="{00000000-0004-0000-0400-000036000000}"/>
    <hyperlink ref="D38" r:id="rId53" xr:uid="{00000000-0004-0000-0400-000037000000}"/>
    <hyperlink ref="D15" r:id="rId54" xr:uid="{00000000-0004-0000-0400-000038000000}"/>
    <hyperlink ref="D5" r:id="rId55" xr:uid="{00000000-0004-0000-0400-000039000000}"/>
    <hyperlink ref="D8" r:id="rId56" xr:uid="{18BAEE86-619D-425E-B275-3A42F29A95AF}"/>
  </hyperlinks>
  <pageMargins left="0.70866141732283472" right="0.70866141732283472" top="0.74803149606299213" bottom="0.74803149606299213" header="0.31496062992125984" footer="0.31496062992125984"/>
  <pageSetup paperSize="8" scale="80" orientation="landscape" verticalDpi="0" r:id="rId5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SyracuseOfficeCustomData>{"createMode":"plain_doc","forceRefresh":"0"}</SyracuseOfficeCustomData>
</file>

<file path=customXml/item2.xml>��< ? x m l   v e r s i o n = " 1 . 0 "   e n c o d i n g = " u t f - 1 6 " ? > < D a t a M a s h u p   x m l n s = " h t t p : / / s c h e m a s . m i c r o s o f t . c o m / D a t a M a s h u p " > A A A A A B Y D A A B Q S w M E F A A C A A g A 4 l K O V d z u 6 n i m A A A A 9 g A A A B I A H A B D b 2 5 m a W c v U G F j a 2 F n Z S 5 4 b W w g o h g A K K A U A A A A A A A A A A A A A A A A A A A A A A A A A A A A h Y 9 B D o I w F E S v Q r q n L Z g Y J J + S 6 M K N J C Y m x m 1 T K j T C x 9 A i 3 M 2 F R / I K Y h R 1 5 3 L e v M X M / X q D d K g r 7 6 J b a x p M S E A 5 8 T S q J j d Y J K R z R z 8 i q Y C t V C d Z a G + U 0 c a D z R N S O n e O G e v 7 n v Y z 2 r Q F C z k P 2 C H b 7 F S p a 0 k + s v k v + w a t k 6 g 0 E b B / j R E h D X h E F 9 G c c m A T h M z g V w j H v c / 2 B 8 K q q 1 z X a q H R X y + B T R H Y + 4 N 4 A F B L A w Q U A A I A C A D i U o 5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4 l K O V S i K R 7 g O A A A A E Q A A A B M A H A B G b 3 J t d W x h c y 9 T Z W N 0 a W 9 u M S 5 t I K I Y A C i g F A A A A A A A A A A A A A A A A A A A A A A A A A A A A C t O T S 7 J z M 9 T C I b Q h t Y A U E s B A i 0 A F A A C A A g A 4 l K O V d z u 6 n i m A A A A 9 g A A A B I A A A A A A A A A A A A A A A A A A A A A A E N v b m Z p Z y 9 Q Y W N r Y W d l L n h t b F B L A Q I t A B Q A A g A I A O J S j l U P y u m r p A A A A O k A A A A T A A A A A A A A A A A A A A A A A P I A A A B b Q 2 9 u d G V u d F 9 U e X B l c 1 0 u e G 1 s U E s B A i 0 A F A A C A A g A 4 l K O V S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J N G 0 a n I k u V A q x b m Y g 3 U M x g A A A A A A g A A A A A A A 2 Y A A M A A A A A Q A A A A u N o X D d s U O k 0 d H q l E f W w 7 I w A A A A A E g A A A o A A A A B A A A A C R E q F v U H t V 1 S d 9 D 2 1 f E Y Q Z U A A A A K v K 9 q W 4 6 k X R q 0 x X b g 3 p c P 6 B 8 4 s 5 M k c w C E 5 e J p M R K P 9 f F I 3 I b D y 8 P l 9 b s h V u y O m v p 6 5 j r u w 1 w u B G o 1 R 5 e v B Q 1 N b M u 4 C Q k B M L J R 4 x 3 G 0 v c 7 x a F A A A A H i n b i q a W N h / r V h V W + F Z Q 8 K E M p g i < / D a t a M a s h u p > 
</file>

<file path=customXml/itemProps1.xml><?xml version="1.0" encoding="utf-8"?>
<ds:datastoreItem xmlns:ds="http://schemas.openxmlformats.org/officeDocument/2006/customXml" ds:itemID="{34E113F1-9DC3-4FA8-96CA-80D83CDB2E59}">
  <ds:schemaRefs/>
</ds:datastoreItem>
</file>

<file path=customXml/itemProps2.xml><?xml version="1.0" encoding="utf-8"?>
<ds:datastoreItem xmlns:ds="http://schemas.openxmlformats.org/officeDocument/2006/customXml" ds:itemID="{43D03241-70D8-4237-B20B-5E179F870D9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JSP-GO</vt:lpstr>
      <vt:lpstr>1 Stand Configurator</vt:lpstr>
      <vt:lpstr>1 Stand Order Generator</vt:lpstr>
      <vt:lpstr>2 Stand Configurator</vt:lpstr>
      <vt:lpstr>2 Stand Order Generator</vt:lpstr>
      <vt:lpstr>Product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Luke Glover</dc:creator>
  <cp:lastModifiedBy>Luke Glover</cp:lastModifiedBy>
  <cp:lastPrinted>2019-11-01T13:42:18Z</cp:lastPrinted>
  <dcterms:created xsi:type="dcterms:W3CDTF">2019-05-30T07:56:48Z</dcterms:created>
  <dcterms:modified xsi:type="dcterms:W3CDTF">2023-09-04T14:48:43Z</dcterms:modified>
</cp:coreProperties>
</file>